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Смета коммерч.-утверждено" sheetId="11" r:id="rId1"/>
    <sheet name="Cмета  -цел. взносы - утверж" sheetId="12" r:id="rId2"/>
  </sheets>
  <definedNames>
    <definedName name="_xlnm.Print_Titles" localSheetId="1">'Cмета  -цел. взносы - утверж'!$5:$5</definedName>
    <definedName name="_xlnm.Print_Titles" localSheetId="0">'Смета коммерч.-утверждено'!$5:$5</definedName>
  </definedNames>
  <calcPr calcId="144525"/>
</workbook>
</file>

<file path=xl/calcChain.xml><?xml version="1.0" encoding="utf-8"?>
<calcChain xmlns="http://schemas.openxmlformats.org/spreadsheetml/2006/main">
  <c r="F28" i="11" l="1"/>
  <c r="F29" i="11"/>
  <c r="F30" i="11"/>
  <c r="F31" i="11"/>
  <c r="F32" i="11"/>
  <c r="F33" i="11"/>
  <c r="F34" i="11"/>
  <c r="F35" i="11"/>
  <c r="F36" i="11"/>
  <c r="F37" i="11"/>
  <c r="F38" i="11"/>
  <c r="F27" i="11"/>
  <c r="F18" i="11"/>
  <c r="F19" i="11"/>
  <c r="F20" i="11"/>
  <c r="F21" i="11"/>
  <c r="F22" i="11"/>
  <c r="F23" i="11"/>
  <c r="F26" i="12"/>
  <c r="E45" i="12" l="1"/>
  <c r="E46" i="12"/>
  <c r="G8" i="12"/>
  <c r="F50" i="12"/>
  <c r="F19" i="12"/>
  <c r="G19" i="12" s="1"/>
  <c r="G7" i="12"/>
  <c r="G11" i="12"/>
  <c r="F32" i="12"/>
  <c r="F30" i="12"/>
  <c r="G30" i="12" s="1"/>
  <c r="G46" i="12"/>
  <c r="F39" i="12"/>
  <c r="G39" i="12" s="1"/>
  <c r="F41" i="12"/>
  <c r="F33" i="12"/>
  <c r="G33" i="12" s="1"/>
  <c r="G26" i="12"/>
  <c r="F27" i="12"/>
  <c r="G27" i="12" s="1"/>
  <c r="F48" i="12"/>
  <c r="G48" i="12" s="1"/>
  <c r="F44" i="12"/>
  <c r="G44" i="12" s="1"/>
  <c r="G47" i="12"/>
  <c r="G49" i="12"/>
  <c r="G50" i="12"/>
  <c r="G45" i="12"/>
  <c r="E51" i="12"/>
  <c r="G28" i="12"/>
  <c r="G29" i="12"/>
  <c r="G31" i="12"/>
  <c r="G32" i="12"/>
  <c r="G34" i="12"/>
  <c r="G35" i="12"/>
  <c r="G36" i="12"/>
  <c r="G37" i="12"/>
  <c r="G40" i="12"/>
  <c r="G41" i="12"/>
  <c r="G42" i="12"/>
  <c r="G43" i="12"/>
  <c r="G20" i="12"/>
  <c r="G21" i="12"/>
  <c r="G10" i="12"/>
  <c r="G12" i="12"/>
  <c r="G13" i="12"/>
  <c r="G14" i="12"/>
  <c r="G16" i="12"/>
  <c r="G17" i="12"/>
  <c r="F9" i="12"/>
  <c r="F18" i="12" s="1"/>
  <c r="F51" i="12" l="1"/>
  <c r="G51" i="12"/>
  <c r="G9" i="12"/>
  <c r="F22" i="12"/>
  <c r="F23" i="12" s="1"/>
  <c r="F52" i="12" s="1"/>
  <c r="G38" i="12"/>
  <c r="G22" i="12"/>
  <c r="E39" i="11"/>
  <c r="E40" i="11" l="1"/>
  <c r="E15" i="12"/>
  <c r="G15" i="12" s="1"/>
  <c r="D15" i="12"/>
  <c r="G18" i="12" l="1"/>
  <c r="G23" i="12" s="1"/>
  <c r="G52" i="12" s="1"/>
  <c r="C28" i="12"/>
  <c r="D27" i="12" l="1"/>
  <c r="C27" i="12" s="1"/>
  <c r="D26" i="12"/>
  <c r="D35" i="12" l="1"/>
  <c r="C35" i="12" s="1"/>
  <c r="D43" i="12"/>
  <c r="C43" i="12" s="1"/>
  <c r="C29" i="12"/>
  <c r="C30" i="12"/>
  <c r="C31" i="12"/>
  <c r="C32" i="12"/>
  <c r="C33" i="12"/>
  <c r="C36" i="12"/>
  <c r="C38" i="12"/>
  <c r="C40" i="12"/>
  <c r="C41" i="12"/>
  <c r="C42" i="12"/>
  <c r="C19" i="12"/>
  <c r="C8" i="12"/>
  <c r="C9" i="12"/>
  <c r="C10" i="12"/>
  <c r="C11" i="12"/>
  <c r="C12" i="12"/>
  <c r="C13" i="12"/>
  <c r="C14" i="12"/>
  <c r="C15" i="12"/>
  <c r="C16" i="12"/>
  <c r="C17" i="12"/>
  <c r="D22" i="12"/>
  <c r="E22" i="12"/>
  <c r="D18" i="12"/>
  <c r="E18" i="12"/>
  <c r="D39" i="12"/>
  <c r="C39" i="12" s="1"/>
  <c r="D37" i="12"/>
  <c r="C37" i="12" s="1"/>
  <c r="C7" i="12"/>
  <c r="C21" i="12"/>
  <c r="E53" i="12"/>
  <c r="D34" i="12"/>
  <c r="C34" i="12" s="1"/>
  <c r="C26" i="12"/>
  <c r="C20" i="12"/>
  <c r="C9" i="11"/>
  <c r="C7" i="11"/>
  <c r="D10" i="11"/>
  <c r="F10" i="11" s="1"/>
  <c r="D11" i="11"/>
  <c r="F11" i="11" s="1"/>
  <c r="D12" i="11"/>
  <c r="F12" i="11" s="1"/>
  <c r="D13" i="11"/>
  <c r="F13" i="11" s="1"/>
  <c r="D14" i="11"/>
  <c r="F14" i="11" s="1"/>
  <c r="D15" i="11"/>
  <c r="F15" i="11" s="1"/>
  <c r="D16" i="11"/>
  <c r="F16" i="11" s="1"/>
  <c r="D17" i="11"/>
  <c r="F17" i="11" s="1"/>
  <c r="D6" i="11"/>
  <c r="F6" i="11" s="1"/>
  <c r="D39" i="11"/>
  <c r="F39" i="11" s="1"/>
  <c r="C34" i="11"/>
  <c r="C39" i="11" s="1"/>
  <c r="C24" i="11" l="1"/>
  <c r="D51" i="12"/>
  <c r="C18" i="12"/>
  <c r="C22" i="12"/>
  <c r="D23" i="12"/>
  <c r="C51" i="12"/>
  <c r="E23" i="12"/>
  <c r="E52" i="12" s="1"/>
  <c r="C40" i="11"/>
  <c r="C23" i="12" l="1"/>
  <c r="C52" i="12" s="1"/>
  <c r="D52" i="12"/>
  <c r="D9" i="11" l="1"/>
  <c r="F9" i="11" s="1"/>
  <c r="D7" i="11"/>
  <c r="F7" i="11" s="1"/>
  <c r="D8" i="11"/>
  <c r="F8" i="11" s="1"/>
  <c r="D24" i="11" l="1"/>
  <c r="D40" i="11" l="1"/>
  <c r="F40" i="11" s="1"/>
  <c r="F24" i="11"/>
</calcChain>
</file>

<file path=xl/sharedStrings.xml><?xml version="1.0" encoding="utf-8"?>
<sst xmlns="http://schemas.openxmlformats.org/spreadsheetml/2006/main" count="181" uniqueCount="168">
  <si>
    <t>Слесарь-сантехник</t>
  </si>
  <si>
    <t>Электрик</t>
  </si>
  <si>
    <t>Итого</t>
  </si>
  <si>
    <t>Канцелярские товары на нужды ТСЖ</t>
  </si>
  <si>
    <t>Почтовые расходы</t>
  </si>
  <si>
    <t>Обучение персонала</t>
  </si>
  <si>
    <t>Техническое обслуживание индивидуального теплового пункта</t>
  </si>
  <si>
    <t>Испытание пожарных гидрантов и перекатка пожарных рукавов</t>
  </si>
  <si>
    <t>Обязательное страхование лифтов</t>
  </si>
  <si>
    <r>
      <rPr>
        <b/>
        <sz val="9"/>
        <rFont val="Arial"/>
        <family val="2"/>
        <charset val="204"/>
      </rPr>
      <t>Услуга</t>
    </r>
  </si>
  <si>
    <r>
      <rPr>
        <b/>
        <sz val="9"/>
        <rFont val="Arial"/>
        <family val="2"/>
        <charset val="204"/>
      </rPr>
      <t>1 месяц</t>
    </r>
  </si>
  <si>
    <r>
      <rPr>
        <b/>
        <sz val="9"/>
        <rFont val="Arial"/>
        <family val="2"/>
        <charset val="204"/>
      </rPr>
      <t>Примечание</t>
    </r>
  </si>
  <si>
    <r>
      <rPr>
        <b/>
        <i/>
        <sz val="12"/>
        <rFont val="Arial"/>
        <family val="2"/>
        <charset val="204"/>
      </rPr>
      <t>Расходы на содержание и техническое обслуживание дома</t>
    </r>
  </si>
  <si>
    <t>Бухгалтер по  работе  с  абонентами</t>
  </si>
  <si>
    <t>Диспетчер</t>
  </si>
  <si>
    <t>Энергетик</t>
  </si>
  <si>
    <t>Разнорабочий</t>
  </si>
  <si>
    <t>Дворник</t>
  </si>
  <si>
    <t xml:space="preserve">Уборщики  МОП </t>
  </si>
  <si>
    <t>Начисления в фонды 20,2 %</t>
  </si>
  <si>
    <t>Налог с дохода (УСН) 6%</t>
  </si>
  <si>
    <t>Итого  расходов на персонал</t>
  </si>
  <si>
    <t xml:space="preserve">Тариф, руб. с  кв.м </t>
  </si>
  <si>
    <r>
      <t xml:space="preserve">Тариф, руб. </t>
    </r>
    <r>
      <rPr>
        <b/>
        <sz val="9"/>
        <rFont val="Bookman Old Style"/>
        <family val="1"/>
        <charset val="204"/>
      </rPr>
      <t xml:space="preserve"> с  кв.м.</t>
    </r>
  </si>
  <si>
    <t xml:space="preserve">Услуги связи                                 </t>
  </si>
  <si>
    <t>Услуги  стационарной  связи,6  телефонов ( офис ТСЖ и 4  консъержки)</t>
  </si>
  <si>
    <t>Годовое  обслуживание и  обновление  1С  ПРОФ, ПО  "СбиС"</t>
  </si>
  <si>
    <t>Бухгалтерское  сопровождение</t>
  </si>
  <si>
    <t>Услуги  РКЦ</t>
  </si>
  <si>
    <t>Затраты  на  бухгалтерский  аудит</t>
  </si>
  <si>
    <t>Услуги банка</t>
  </si>
  <si>
    <t>почтовая рассылка уведомлений ценным письмом с описью ,печать  бланков  для    проведения  общих  собраний</t>
  </si>
  <si>
    <t>Договор  с  СГМУП  РКЦ  ЖКХ</t>
  </si>
  <si>
    <t>Канцелярские товары,бумага</t>
  </si>
  <si>
    <t>договор с   ИП  Старцев  А.П.</t>
  </si>
  <si>
    <t>налоги  по  УСН  6 %  от  коммерческих  доходов</t>
  </si>
  <si>
    <t>Промывка  системы  отопления</t>
  </si>
  <si>
    <t>Ремонт   и  замена  комплектующих  ИТП</t>
  </si>
  <si>
    <t>Ремонт  и  замена  манометров,клапанов  ИТП</t>
  </si>
  <si>
    <t>Паспортизация  отходов  IV-V  классов  опасности</t>
  </si>
  <si>
    <t>договор  с   ООО "Компания  Экосистемы"</t>
  </si>
  <si>
    <t>договор с  ООО  "Пожарная  защита"</t>
  </si>
  <si>
    <t>Обслуживание   системы  видеонаблюдения,шлагбаумов  и  домофонов</t>
  </si>
  <si>
    <t>договор  с  ООО  "Связь-сервис"</t>
  </si>
  <si>
    <t>страхование в   ОСАО  "Ресо-Гарантия"</t>
  </si>
  <si>
    <t xml:space="preserve">договор  с  ООО  "ПТК"  </t>
  </si>
  <si>
    <t>Механизированная уборка снега   включая  вывоз  на  полигон</t>
  </si>
  <si>
    <t>Ремонт  офиса  ТСЖ</t>
  </si>
  <si>
    <t>ИТОГО    расходов  на  содержание МКД</t>
  </si>
  <si>
    <t>ВСЕГО  РАСХОДОВ</t>
  </si>
  <si>
    <t>Итого:</t>
  </si>
  <si>
    <t>12 месяцев</t>
  </si>
  <si>
    <t>Утверждено Протоколом    правления  ТСЖ   № ___от "___" _________ 201__ года</t>
  </si>
  <si>
    <t>договор   с  Ростелеком</t>
  </si>
  <si>
    <t>договор  с  ООО  "Тензор ", с ООО "Сибирский Интегратор"</t>
  </si>
  <si>
    <t>круглосуточное обслуживание, аварийный вызов в любое время суток,  по  штатному  расписанию</t>
  </si>
  <si>
    <t>Обслуживание внутридомового электрооборудования</t>
  </si>
  <si>
    <t>Расходы на персонал  (  в  т. ч.  НДФЛ  -  13 %)</t>
  </si>
  <si>
    <t>Юридические  услуги</t>
  </si>
  <si>
    <t>внутридомовые работы,с  01.05.16 г.  переводится  по  договору  ГПХ</t>
  </si>
  <si>
    <t>Содержание жилфонда  в  год :  6 043 669 руб.</t>
  </si>
  <si>
    <t>Резервный  фонд - 2 %  от  тарифной  ставки  статьи  за  содержание  жилфонда :  18,75*26860,75=503639 руб./мес</t>
  </si>
  <si>
    <t>Услуги  председателя  Правления ТСЖ</t>
  </si>
  <si>
    <t xml:space="preserve">Статья  доходов </t>
  </si>
  <si>
    <t>ИТОГО  ДОХОДОВ :</t>
  </si>
  <si>
    <t>ООО  УК  Лифтремонт (лифтерная)</t>
  </si>
  <si>
    <t xml:space="preserve">ИП Пясецкая Н.Ю. </t>
  </si>
  <si>
    <t>ИП  Косенко Т.В.</t>
  </si>
  <si>
    <t>ИП  Поздеева М.Ю.</t>
  </si>
  <si>
    <t>ПАО  Банк "Югра"</t>
  </si>
  <si>
    <t>АО  КБ  "АГРОПРОМКРЕДИТ"</t>
  </si>
  <si>
    <t>ИП  Кожуркина   Елена  Дмитриевна</t>
  </si>
  <si>
    <t>ООО "Студия  рекламы Элемент"</t>
  </si>
  <si>
    <t>ООО "МЛП"</t>
  </si>
  <si>
    <t>ООО "Нэт Бай Нэт  Холдинг"</t>
  </si>
  <si>
    <t>ООО " Теле-Плюс"</t>
  </si>
  <si>
    <t>Размещение   лифтерной,  дог. №5  от 02/11/2015 г.</t>
  </si>
  <si>
    <t>Студия  красоты "Ева" ,дог. № 6/1  от 01.12.15 г.</t>
  </si>
  <si>
    <t>Ателье "Булавка", дог. № 7/2  от 01/12/15 г</t>
  </si>
  <si>
    <t>Размещение " Салона  красоты  и  здоровья", № 8 от 01/12/15г.</t>
  </si>
  <si>
    <t>Предоставление места для размещения  сплит-системы(дог.б/№ от 01/10/2014 г.)</t>
  </si>
  <si>
    <t>Размещение    вывески    с  наименованием  арендатора (Дог. № 01  от  01.07.2015 г.)</t>
  </si>
  <si>
    <t>Размещение  рекламной  конструкции  б/№  от 19/01/2015 г.</t>
  </si>
  <si>
    <t>Размещение  рекламных  щитов  в  лифтах МКД (Дог. № 22-О-2015  от 12/08/2015 г.</t>
  </si>
  <si>
    <t>Размещение  рекламы  о деятельности  компании (Дог. № 01  от  15/07/2015 г.)</t>
  </si>
  <si>
    <t>Договор    аренды  МОП  для  размещения  оборудования № 1  от  20/09/2015 г.</t>
  </si>
  <si>
    <t>Примечание</t>
  </si>
  <si>
    <t>№№ п/п</t>
  </si>
  <si>
    <t>Размещения  рекламной  конструкции  (дог. № 10  от 14/05/2014 г.)</t>
  </si>
  <si>
    <t>1 месяц</t>
  </si>
  <si>
    <t>Расходы на содержание и техническое обслуживание дома из  статьи  по  коммерческой  деятельности</t>
  </si>
  <si>
    <t>Профицит</t>
  </si>
  <si>
    <t>Обязательные медицинские  осмотры сотрудников</t>
  </si>
  <si>
    <t>Проведение обязательного  медицинского  осмотра  сотрудников.Реализация  программы  по  охране  труда</t>
  </si>
  <si>
    <t>Услуга</t>
  </si>
  <si>
    <t>Перечень видов и услуг по содержанию и ремонту</t>
  </si>
  <si>
    <t>Компенсации расходов на оплату стоимости проезда и провоза багажа к месту использования отпуска и обратно</t>
  </si>
  <si>
    <t>ТК РФ, Статья 325</t>
  </si>
  <si>
    <t>Компенсация  за  неиспользованный   отпуск</t>
  </si>
  <si>
    <t>Услуги  интернета</t>
  </si>
  <si>
    <t>Оплата налогов  в  ПФР  и  ФСС</t>
  </si>
  <si>
    <t>Расходные  материалы  для  ИТ -техники, картриджи</t>
  </si>
  <si>
    <t xml:space="preserve">СПРАВОЧНО : Сметные расходы    на   1   кв.м  -                  18,75  руб. </t>
  </si>
  <si>
    <t xml:space="preserve">Расходные  материалы  для  содержания электрооборудования МКД </t>
  </si>
  <si>
    <t>Расходные  материалы   на  содержания систем водоснабжения (холодного и горячего), отопления и водоотведения в   МКД</t>
  </si>
  <si>
    <t>Лампы,светильники,  комплектующие          к  электрооборудованию  МКД</t>
  </si>
  <si>
    <t>ИСПОЛНЕНИЕ СМЕТЫ ТСЖ "СВЕТЛОЕ" на 2016 год  по  статье : "Содержание жилфонда"</t>
  </si>
  <si>
    <t>Содержание  жилфонда   при  тарифе -                                     18,75 руб ДО 31 АВГУСТА 2016 ГОДА * 26860,75  кв.м = 503 639 руб./  месяц                                                                        22,48 руб.с 01 СЕНТЯБРЯ 2016 ДО 31 ДЕКАБРЯ 2016 ГОДА-26860,75 кв.м = 603 830 руб./месяц</t>
  </si>
  <si>
    <t>ПЛАН</t>
  </si>
  <si>
    <t xml:space="preserve">12 месяцев ПЛАН </t>
  </si>
  <si>
    <t>ФАКТ</t>
  </si>
  <si>
    <t>Договор  на  размещение  оборудования  связи № 1  от  01.07.2015 г.(В январе 2016 года дополнительно начислили за 4 квартал 2015 год</t>
  </si>
  <si>
    <t>Штрафные санкции за несанкционированный отбор воды из МОП собственником жилого помещения</t>
  </si>
  <si>
    <t>ИП Парфентьева Лидия Владимировна</t>
  </si>
  <si>
    <t>Магазин Конфеты (тех.помещение 3-ий подъезд)</t>
  </si>
  <si>
    <t>ИП Волков Афанасий Дмитриевич офис № 015 (аренда рекламного банера</t>
  </si>
  <si>
    <t xml:space="preserve">Договор аренды рекламной конструкции от 01.07.2016 год </t>
  </si>
  <si>
    <t>ИП Войцеховская Наталья Викторовна</t>
  </si>
  <si>
    <t>ИП Баринов Алексей Владимирович</t>
  </si>
  <si>
    <t>Договор аренды места под кофема</t>
  </si>
  <si>
    <t>ООО "ИТС" возврат судебных издержек</t>
  </si>
  <si>
    <t>ПЛАН12 месяцев</t>
  </si>
  <si>
    <t>ФАКТ 12 месяцев</t>
  </si>
  <si>
    <t>Гриб Н.Н., Халиуллина Р.Р.</t>
  </si>
  <si>
    <t>Ведение сайта ГИС ЖКХ, размещение информации на сайт reformagkh.ru, проведение 2-х общих собраний, формирование реестров собственников и членов</t>
  </si>
  <si>
    <t>Инженерно-геологические изыскания придомой территории МКД по ул.Университетской, дом 7</t>
  </si>
  <si>
    <t>курсы повышения квалификации,охрана  труда,  вебинары, семинары</t>
  </si>
  <si>
    <t>Договор  с    ООО  "Сибирь-Аудит"</t>
  </si>
  <si>
    <t>ИП Шварцкопф В.М.</t>
  </si>
  <si>
    <t>Ремонт  площадок  подъездов  № 1МКД</t>
  </si>
  <si>
    <t>ООО СК "Стройконтакт"</t>
  </si>
  <si>
    <t>Подписка на журнал Управление МКД</t>
  </si>
  <si>
    <t>ООО МЦФЭР ПРЕСС</t>
  </si>
  <si>
    <t>Экспертиза крыши дома для суда по РЕСО гарантии</t>
  </si>
  <si>
    <t>ООО "Сургутэкспертиза"</t>
  </si>
  <si>
    <t>Услуги по проведению общего собрания в ноябре 2015 года, работа с документами</t>
  </si>
  <si>
    <t>Микушина Е.В.</t>
  </si>
  <si>
    <t>ИСПОЛНЕНИЕ СМЕТЫ КОММЕРЧЕСКОЙ ДЕЯТЕЛЬНОСТИ                                                                ТСЖ "СВЕТЛОЕ" ЗА 2016 ГОД</t>
  </si>
  <si>
    <t>Салон платьев (тех.помещения 3-ий подъезд) с 01.08.2016 год</t>
  </si>
  <si>
    <t>12 месяцев ФАКТ</t>
  </si>
  <si>
    <t>расходные материалы на закупку сантехнических  и  хозяйственных материалов,  в  т. ч.   спецодежда,дератизация,</t>
  </si>
  <si>
    <t>Отклонения</t>
  </si>
  <si>
    <t>Обслуживание  лифтов  с  01.09.2016 г.</t>
  </si>
  <si>
    <t>Непредвиденные  расходы</t>
  </si>
  <si>
    <t xml:space="preserve">Расходы  на  материалы по   благоустройству двора   </t>
  </si>
  <si>
    <t>Приобретение  кустарников  и  цветов,  покраска  бордюр</t>
  </si>
  <si>
    <t>Косметический  ремонт МОП,материалы</t>
  </si>
  <si>
    <t>Расходные  материалы  по  установке  ОПС  в тех.помещениях</t>
  </si>
  <si>
    <t>Ремонт  шлагбаума</t>
  </si>
  <si>
    <t>Расходные  материалы  для  ИТ -техники, картриджи,ТО  ККМ</t>
  </si>
  <si>
    <t>ТО  системы  пожарной  безопасности  с  01.09.16</t>
  </si>
  <si>
    <t>Пени  и  штрафы  ГТС,  устранение  аварий</t>
  </si>
  <si>
    <t>Техническое обслуживание  МКД,совместитель   по  штатному  расписанию,  с  04.04.16г. -  уволился, с 01.05.2016 по договору ГПХ принят электрик на ставку 11494 рублей (в том числе НДФЛ 13%)</t>
  </si>
  <si>
    <t>техническое обслуживание, аварийный вызов   по  необходимости ,совместитель   по  штатному  расписанию,  с  04.04.16г. -  уволился, с 01.05.2016 по договору ГПХ принят энергетик на ставку 5747 рублей (в том числе НДФЛ 13%)</t>
  </si>
  <si>
    <t>обязанности делопроизводство, диспетчеризация и проверка показаний счетчиков, сшив  документов,  ,дополнительно начислено за работу в праздничные выходные дни (по приказу) - (Новогодние праздники, майские и июньские) 20565,81</t>
  </si>
  <si>
    <t>Оформление  первичных  документов  по  бухгалтерии,  банк,  касса,  авансовые  отчеты, списание  материалов, кадры  по  штатному  расписанию, дополнительно начисслено за работу в новогодние праздники - 16799,99</t>
  </si>
  <si>
    <t xml:space="preserve">Договор  с  ИП Панкеева Я.Ю. и разовый договор ГПХ с Назаровой Г.Р. </t>
  </si>
  <si>
    <t>договор  с  ИП  Гриб  Н.Н., перерасход возник из-за замещение на время отпуска штатного сотрудника январь, июль, декабрь и  доп.работа в с 02.01.2016  по 09.01.2016 год</t>
  </si>
  <si>
    <t>содержание  придомовой  территории  по  дог.  ГПХ, с  01.05.16 г.  переводится  по   договору  ГПХ. Перерасход из-за дополнительных работ в качестве разнорабочего</t>
  </si>
  <si>
    <t xml:space="preserve">содержание  МОП :  уборка подъездов, лестничные  марши,входных групп офисных  помещений, по  дог.  ГПХ  </t>
  </si>
  <si>
    <t xml:space="preserve">Все функции руководителя по Уставу ТСЖ    по  дог.  ИП, услуги управляющего на время отсутствия председателя, единоразовая оплата ГСМ по решению правления.          </t>
  </si>
  <si>
    <t>договор с  ПАО   КБ "Агропромкредит", открытие спецсчета и основного счета в Сбербанке</t>
  </si>
  <si>
    <t>2,3 и частично 4 подъезд</t>
  </si>
  <si>
    <t xml:space="preserve">ИТОГО    ТАРИФ  с 01.01.2016 по 31.08.2016 :  руб./ кв.м. </t>
  </si>
  <si>
    <t xml:space="preserve">ИТОГО    с 01.09.2016 по 31.12.2016 ТАРИФ  :  руб./ кв.м. </t>
  </si>
  <si>
    <t>ИТОГО  начислено собственникам за  2016  год.</t>
  </si>
  <si>
    <t>Оклонение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</si>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</sst>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Bookman Old Style"/>
      <family val="1"/>
      <charset val="204"/>
    </font>
    <font>
      <b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Calibri Light"/>
      <family val="2"/>
      <charset val="204"/>
      <scheme val="major"/>
    </font>
    <font>
      <sz val="12"/>
      <color theme="1"/>
      <name val="Calibri Light"/>
      <family val="2"/>
      <charset val="204"/>
      <scheme val="major"/>
    </font>
    <font>
      <sz val="1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0"/>
      <name val="Arial Cyr"/>
      <family val="2"/>
      <charset val="204"/>
    </font>
    <font>
      <b/>
      <sz val="12"/>
      <name val="Calibri Light"/>
      <family val="2"/>
      <charset val="204"/>
      <scheme val="major"/>
    </font>
    <font>
      <sz val="10"/>
      <name val="Arial"/>
      <family val="2"/>
      <charset val="204"/>
    </font>
    <font>
      <b/>
      <sz val="12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5" fillId="0" borderId="0" xfId="0" applyFont="1"/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/>
    <xf numFmtId="2" fontId="1" fillId="0" borderId="1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4" fontId="1" fillId="0" borderId="17" xfId="0" applyNumberFormat="1" applyFont="1" applyBorder="1" applyAlignment="1">
      <alignment horizontal="left" vertical="top"/>
    </xf>
    <xf numFmtId="4" fontId="1" fillId="0" borderId="0" xfId="0" applyNumberFormat="1" applyFont="1"/>
    <xf numFmtId="0" fontId="0" fillId="0" borderId="0" xfId="0" applyAlignment="1">
      <alignment vertical="center"/>
    </xf>
    <xf numFmtId="2" fontId="1" fillId="0" borderId="24" xfId="0" applyNumberFormat="1" applyFont="1" applyBorder="1" applyAlignment="1">
      <alignment horizontal="center" vertical="center"/>
    </xf>
    <xf numFmtId="0" fontId="9" fillId="0" borderId="0" xfId="0" applyFont="1"/>
    <xf numFmtId="3" fontId="1" fillId="0" borderId="24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12" xfId="0" applyNumberFormat="1" applyFont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2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3" fontId="1" fillId="0" borderId="24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left" vertical="center" wrapText="1"/>
    </xf>
    <xf numFmtId="2" fontId="11" fillId="2" borderId="24" xfId="0" applyNumberFormat="1" applyFont="1" applyFill="1" applyBorder="1" applyAlignment="1">
      <alignment horizontal="center" vertical="center"/>
    </xf>
    <xf numFmtId="3" fontId="11" fillId="2" borderId="24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3" fontId="3" fillId="0" borderId="24" xfId="0" applyNumberFormat="1" applyFont="1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/>
    </xf>
    <xf numFmtId="2" fontId="11" fillId="3" borderId="24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2" fontId="1" fillId="0" borderId="11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6" fillId="2" borderId="24" xfId="0" applyNumberFormat="1" applyFont="1" applyFill="1" applyBorder="1" applyAlignment="1">
      <alignment horizontal="center" vertical="center"/>
    </xf>
    <xf numFmtId="2" fontId="8" fillId="4" borderId="24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3" xfId="0" applyFont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29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3" fontId="13" fillId="3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3" borderId="0" xfId="0" applyFont="1" applyFill="1"/>
    <xf numFmtId="0" fontId="14" fillId="3" borderId="24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4" xfId="0" applyFont="1" applyFill="1" applyBorder="1" applyAlignment="1">
      <alignment horizontal="left" vertical="center" wrapText="1"/>
    </xf>
    <xf numFmtId="4" fontId="18" fillId="0" borderId="24" xfId="0" applyNumberFormat="1" applyFont="1" applyBorder="1" applyAlignment="1" applyProtection="1">
      <alignment horizontal="right" vertical="center" wrapText="1"/>
    </xf>
    <xf numFmtId="3" fontId="1" fillId="3" borderId="2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3" fillId="0" borderId="0" xfId="0" applyFont="1"/>
    <xf numFmtId="0" fontId="13" fillId="4" borderId="24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9" fillId="5" borderId="3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33" xfId="0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center"/>
    </xf>
    <xf numFmtId="0" fontId="5" fillId="5" borderId="24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3" fontId="11" fillId="3" borderId="24" xfId="0" applyNumberFormat="1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20" fillId="0" borderId="24" xfId="0" applyFont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" fontId="6" fillId="2" borderId="25" xfId="0" applyNumberFormat="1" applyFont="1" applyFill="1" applyBorder="1" applyAlignment="1">
      <alignment horizontal="center" vertical="center"/>
    </xf>
    <xf numFmtId="2" fontId="8" fillId="4" borderId="23" xfId="0" applyNumberFormat="1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left" vertical="center" wrapText="1"/>
    </xf>
    <xf numFmtId="4" fontId="18" fillId="0" borderId="29" xfId="0" applyNumberFormat="1" applyFont="1" applyBorder="1" applyAlignment="1" applyProtection="1">
      <alignment horizontal="right" vertical="center" wrapText="1"/>
    </xf>
    <xf numFmtId="3" fontId="1" fillId="3" borderId="29" xfId="0" applyNumberFormat="1" applyFont="1" applyFill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4" fontId="1" fillId="0" borderId="20" xfId="0" applyNumberFormat="1" applyFont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center" vertical="center"/>
    </xf>
    <xf numFmtId="4" fontId="13" fillId="0" borderId="24" xfId="0" applyNumberFormat="1" applyFont="1" applyBorder="1" applyAlignment="1">
      <alignment horizontal="center" vertical="center"/>
    </xf>
    <xf numFmtId="0" fontId="1" fillId="0" borderId="39" xfId="0" applyFont="1" applyFill="1" applyBorder="1" applyAlignment="1">
      <alignment vertical="center" wrapText="1"/>
    </xf>
    <xf numFmtId="3" fontId="13" fillId="5" borderId="22" xfId="0" applyNumberFormat="1" applyFont="1" applyFill="1" applyBorder="1" applyAlignment="1">
      <alignment horizontal="center" vertical="center" wrapText="1"/>
    </xf>
    <xf numFmtId="4" fontId="13" fillId="5" borderId="28" xfId="0" applyNumberFormat="1" applyFont="1" applyFill="1" applyBorder="1" applyAlignment="1">
      <alignment horizontal="left" vertical="center" wrapText="1"/>
    </xf>
    <xf numFmtId="0" fontId="13" fillId="5" borderId="28" xfId="0" applyFont="1" applyFill="1" applyBorder="1" applyAlignment="1">
      <alignment horizontal="left" vertical="center" wrapText="1"/>
    </xf>
    <xf numFmtId="3" fontId="11" fillId="2" borderId="35" xfId="0" applyNumberFormat="1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3" fontId="12" fillId="3" borderId="24" xfId="0" applyNumberFormat="1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4" fontId="18" fillId="0" borderId="27" xfId="0" applyNumberFormat="1" applyFont="1" applyBorder="1" applyAlignment="1" applyProtection="1">
      <alignment horizontal="right" vertical="center" wrapText="1"/>
    </xf>
    <xf numFmtId="3" fontId="13" fillId="5" borderId="28" xfId="0" applyNumberFormat="1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vertical="center" wrapText="1"/>
    </xf>
    <xf numFmtId="0" fontId="16" fillId="3" borderId="23" xfId="0" applyFont="1" applyFill="1" applyBorder="1" applyAlignment="1">
      <alignment vertical="center" wrapText="1"/>
    </xf>
    <xf numFmtId="0" fontId="16" fillId="3" borderId="36" xfId="0" applyFont="1" applyFill="1" applyBorder="1" applyAlignment="1">
      <alignment vertical="center" wrapText="1"/>
    </xf>
    <xf numFmtId="0" fontId="17" fillId="3" borderId="36" xfId="0" applyFont="1" applyFill="1" applyBorder="1" applyAlignment="1">
      <alignment vertical="center" wrapText="1"/>
    </xf>
    <xf numFmtId="0" fontId="17" fillId="3" borderId="23" xfId="0" applyFont="1" applyFill="1" applyBorder="1" applyAlignment="1">
      <alignment vertical="center" wrapText="1"/>
    </xf>
    <xf numFmtId="0" fontId="17" fillId="3" borderId="41" xfId="0" applyFont="1" applyFill="1" applyBorder="1" applyAlignment="1">
      <alignment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3" fontId="2" fillId="5" borderId="24" xfId="0" applyNumberFormat="1" applyFont="1" applyFill="1" applyBorder="1" applyAlignment="1">
      <alignment horizontal="center" vertical="center" wrapText="1"/>
    </xf>
    <xf numFmtId="3" fontId="1" fillId="3" borderId="24" xfId="0" applyNumberFormat="1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0" fillId="0" borderId="34" xfId="0" applyBorder="1" applyAlignment="1">
      <alignment horizontal="center" vertical="center"/>
    </xf>
    <xf numFmtId="3" fontId="12" fillId="3" borderId="40" xfId="0" applyNumberFormat="1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left" vertical="top"/>
    </xf>
    <xf numFmtId="4" fontId="1" fillId="0" borderId="28" xfId="0" applyNumberFormat="1" applyFont="1" applyBorder="1" applyAlignment="1">
      <alignment horizontal="center" vertical="center" wrapText="1"/>
    </xf>
    <xf numFmtId="4" fontId="1" fillId="2" borderId="34" xfId="0" applyNumberFormat="1" applyFont="1" applyFill="1" applyBorder="1" applyAlignment="1">
      <alignment horizontal="left" vertical="top"/>
    </xf>
    <xf numFmtId="4" fontId="2" fillId="0" borderId="28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11" fillId="0" borderId="2" xfId="0" applyFont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3" fontId="11" fillId="2" borderId="37" xfId="0" applyNumberFormat="1" applyFont="1" applyFill="1" applyBorder="1" applyAlignment="1">
      <alignment horizontal="center" vertical="center" wrapText="1"/>
    </xf>
    <xf numFmtId="3" fontId="11" fillId="2" borderId="38" xfId="0" applyNumberFormat="1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3" fontId="11" fillId="3" borderId="20" xfId="0" applyNumberFormat="1" applyFont="1" applyFill="1" applyBorder="1" applyAlignment="1">
      <alignment horizontal="center" vertical="center"/>
    </xf>
    <xf numFmtId="3" fontId="11" fillId="3" borderId="21" xfId="0" applyNumberFormat="1" applyFont="1" applyFill="1" applyBorder="1" applyAlignment="1">
      <alignment horizontal="center" vertical="center"/>
    </xf>
    <xf numFmtId="3" fontId="11" fillId="3" borderId="23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21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left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66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6" workbookViewId="0">
      <selection activeCell="E28" sqref="E28"/>
    </sheetView>
  </sheetViews>
  <sheetFormatPr defaultRowHeight="12.75" x14ac:dyDescent="0.2"/>
  <cols>
    <col min="1" max="1" width="9.140625" style="64"/>
    <col min="2" max="2" width="33.28515625" style="2" customWidth="1"/>
    <col min="3" max="3" width="12.140625" style="24" customWidth="1"/>
    <col min="4" max="4" width="14.5703125" style="24" customWidth="1"/>
    <col min="5" max="5" width="13" style="16" customWidth="1"/>
    <col min="6" max="6" width="14.140625" style="16" customWidth="1"/>
    <col min="7" max="7" width="34" style="2" customWidth="1"/>
  </cols>
  <sheetData>
    <row r="1" spans="1:7" x14ac:dyDescent="0.2">
      <c r="B1" s="157" t="s">
        <v>52</v>
      </c>
      <c r="C1" s="157"/>
      <c r="D1" s="157"/>
      <c r="E1" s="157"/>
      <c r="F1" s="158"/>
      <c r="G1" s="157"/>
    </row>
    <row r="2" spans="1:7" x14ac:dyDescent="0.2">
      <c r="B2" s="157"/>
      <c r="C2" s="157"/>
      <c r="D2" s="157"/>
      <c r="E2" s="157"/>
      <c r="F2" s="158"/>
      <c r="G2" s="157"/>
    </row>
    <row r="3" spans="1:7" ht="36" customHeight="1" x14ac:dyDescent="0.2">
      <c r="B3" s="159" t="s">
        <v>137</v>
      </c>
      <c r="C3" s="159"/>
      <c r="D3" s="159"/>
      <c r="E3" s="159"/>
      <c r="F3" s="159"/>
      <c r="G3" s="159"/>
    </row>
    <row r="4" spans="1:7" ht="36" customHeight="1" x14ac:dyDescent="0.2">
      <c r="A4" s="160" t="s">
        <v>87</v>
      </c>
      <c r="B4" s="162" t="s">
        <v>63</v>
      </c>
      <c r="C4" s="164" t="s">
        <v>108</v>
      </c>
      <c r="D4" s="165"/>
      <c r="E4" s="105" t="s">
        <v>110</v>
      </c>
      <c r="F4" s="161" t="s">
        <v>166</v>
      </c>
      <c r="G4" s="160" t="s">
        <v>86</v>
      </c>
    </row>
    <row r="5" spans="1:7" s="77" customFormat="1" ht="34.5" customHeight="1" thickBot="1" x14ac:dyDescent="0.25">
      <c r="A5" s="161"/>
      <c r="B5" s="163"/>
      <c r="C5" s="121" t="s">
        <v>89</v>
      </c>
      <c r="D5" s="121" t="s">
        <v>51</v>
      </c>
      <c r="E5" s="122" t="s">
        <v>51</v>
      </c>
      <c r="F5" s="166"/>
      <c r="G5" s="161"/>
    </row>
    <row r="6" spans="1:7" s="70" customFormat="1" ht="39.950000000000003" customHeight="1" thickBot="1" x14ac:dyDescent="0.25">
      <c r="A6" s="126">
        <v>1</v>
      </c>
      <c r="B6" s="138" t="s">
        <v>65</v>
      </c>
      <c r="C6" s="108">
        <v>5000</v>
      </c>
      <c r="D6" s="76">
        <f>C6*12</f>
        <v>60000</v>
      </c>
      <c r="E6" s="123">
        <v>60000</v>
      </c>
      <c r="F6" s="148">
        <f>D6-E6</f>
        <v>0</v>
      </c>
      <c r="G6" s="129" t="s">
        <v>76</v>
      </c>
    </row>
    <row r="7" spans="1:7" s="70" customFormat="1" ht="39.950000000000003" customHeight="1" thickBot="1" x14ac:dyDescent="0.25">
      <c r="A7" s="125">
        <v>2</v>
      </c>
      <c r="B7" s="72" t="s">
        <v>66</v>
      </c>
      <c r="C7" s="75">
        <f>13385+5000</f>
        <v>18385</v>
      </c>
      <c r="D7" s="76">
        <f t="shared" ref="D7:D17" si="0">C7*12</f>
        <v>220620</v>
      </c>
      <c r="E7" s="69">
        <v>211422.67</v>
      </c>
      <c r="F7" s="148">
        <f t="shared" ref="F7:F24" si="1">D7-E7</f>
        <v>9197.3299999999872</v>
      </c>
      <c r="G7" s="130" t="s">
        <v>77</v>
      </c>
    </row>
    <row r="8" spans="1:7" s="70" customFormat="1" ht="39.950000000000003" customHeight="1" thickBot="1" x14ac:dyDescent="0.25">
      <c r="A8" s="137">
        <v>3</v>
      </c>
      <c r="B8" s="74" t="s">
        <v>67</v>
      </c>
      <c r="C8" s="127">
        <v>13385</v>
      </c>
      <c r="D8" s="76">
        <f t="shared" si="0"/>
        <v>160620</v>
      </c>
      <c r="E8" s="69">
        <v>160620</v>
      </c>
      <c r="F8" s="148">
        <f t="shared" si="1"/>
        <v>0</v>
      </c>
      <c r="G8" s="131" t="s">
        <v>78</v>
      </c>
    </row>
    <row r="9" spans="1:7" s="70" customFormat="1" ht="39.950000000000003" customHeight="1" thickBot="1" x14ac:dyDescent="0.25">
      <c r="A9" s="125">
        <v>4</v>
      </c>
      <c r="B9" s="72" t="s">
        <v>68</v>
      </c>
      <c r="C9" s="75">
        <f>23060+3000</f>
        <v>26060</v>
      </c>
      <c r="D9" s="76">
        <f t="shared" si="0"/>
        <v>312720</v>
      </c>
      <c r="E9" s="69">
        <v>69180</v>
      </c>
      <c r="F9" s="148">
        <f t="shared" si="1"/>
        <v>243540</v>
      </c>
      <c r="G9" s="130" t="s">
        <v>79</v>
      </c>
    </row>
    <row r="10" spans="1:7" s="70" customFormat="1" ht="52.5" customHeight="1" thickBot="1" x14ac:dyDescent="0.25">
      <c r="A10" s="137">
        <v>5</v>
      </c>
      <c r="B10" s="73" t="s">
        <v>69</v>
      </c>
      <c r="C10" s="127">
        <v>1500</v>
      </c>
      <c r="D10" s="76">
        <f t="shared" si="0"/>
        <v>18000</v>
      </c>
      <c r="E10" s="69">
        <v>18000</v>
      </c>
      <c r="F10" s="148">
        <f t="shared" si="1"/>
        <v>0</v>
      </c>
      <c r="G10" s="132" t="s">
        <v>80</v>
      </c>
    </row>
    <row r="11" spans="1:7" s="70" customFormat="1" ht="48.75" customHeight="1" thickBot="1" x14ac:dyDescent="0.25">
      <c r="A11" s="125">
        <v>6</v>
      </c>
      <c r="B11" s="74" t="s">
        <v>69</v>
      </c>
      <c r="C11" s="75">
        <v>5000</v>
      </c>
      <c r="D11" s="76">
        <f t="shared" si="0"/>
        <v>60000</v>
      </c>
      <c r="E11" s="69">
        <v>60000</v>
      </c>
      <c r="F11" s="148">
        <f t="shared" si="1"/>
        <v>0</v>
      </c>
      <c r="G11" s="133" t="s">
        <v>81</v>
      </c>
    </row>
    <row r="12" spans="1:7" s="70" customFormat="1" ht="48" customHeight="1" thickBot="1" x14ac:dyDescent="0.25">
      <c r="A12" s="137">
        <v>7</v>
      </c>
      <c r="B12" s="73" t="s">
        <v>70</v>
      </c>
      <c r="C12" s="127">
        <v>3000</v>
      </c>
      <c r="D12" s="76">
        <f t="shared" si="0"/>
        <v>36000</v>
      </c>
      <c r="E12" s="69">
        <v>36000</v>
      </c>
      <c r="F12" s="148">
        <f t="shared" si="1"/>
        <v>0</v>
      </c>
      <c r="G12" s="132" t="s">
        <v>88</v>
      </c>
    </row>
    <row r="13" spans="1:7" s="70" customFormat="1" ht="39.950000000000003" customHeight="1" thickBot="1" x14ac:dyDescent="0.25">
      <c r="A13" s="125">
        <v>8</v>
      </c>
      <c r="B13" s="74" t="s">
        <v>71</v>
      </c>
      <c r="C13" s="75">
        <v>1000</v>
      </c>
      <c r="D13" s="76">
        <f t="shared" si="0"/>
        <v>12000</v>
      </c>
      <c r="E13" s="69">
        <v>12000</v>
      </c>
      <c r="F13" s="148">
        <f t="shared" si="1"/>
        <v>0</v>
      </c>
      <c r="G13" s="133" t="s">
        <v>82</v>
      </c>
    </row>
    <row r="14" spans="1:7" s="70" customFormat="1" ht="46.5" customHeight="1" thickBot="1" x14ac:dyDescent="0.25">
      <c r="A14" s="137">
        <v>9</v>
      </c>
      <c r="B14" s="73" t="s">
        <v>72</v>
      </c>
      <c r="C14" s="127">
        <v>6400</v>
      </c>
      <c r="D14" s="76">
        <f t="shared" si="0"/>
        <v>76800</v>
      </c>
      <c r="E14" s="69">
        <v>76800</v>
      </c>
      <c r="F14" s="148">
        <f t="shared" si="1"/>
        <v>0</v>
      </c>
      <c r="G14" s="132" t="s">
        <v>83</v>
      </c>
    </row>
    <row r="15" spans="1:7" s="70" customFormat="1" ht="49.5" customHeight="1" thickBot="1" x14ac:dyDescent="0.25">
      <c r="A15" s="125">
        <v>10</v>
      </c>
      <c r="B15" s="74" t="s">
        <v>73</v>
      </c>
      <c r="C15" s="75">
        <v>1487.5</v>
      </c>
      <c r="D15" s="76">
        <f t="shared" si="0"/>
        <v>17850</v>
      </c>
      <c r="E15" s="69">
        <v>17850</v>
      </c>
      <c r="F15" s="148">
        <f t="shared" si="1"/>
        <v>0</v>
      </c>
      <c r="G15" s="133" t="s">
        <v>84</v>
      </c>
    </row>
    <row r="16" spans="1:7" s="70" customFormat="1" ht="71.25" customHeight="1" thickBot="1" x14ac:dyDescent="0.25">
      <c r="A16" s="137">
        <v>11</v>
      </c>
      <c r="B16" s="73" t="s">
        <v>74</v>
      </c>
      <c r="C16" s="127">
        <v>750</v>
      </c>
      <c r="D16" s="76">
        <f t="shared" si="0"/>
        <v>9000</v>
      </c>
      <c r="E16" s="69">
        <v>12000</v>
      </c>
      <c r="F16" s="148">
        <f t="shared" si="1"/>
        <v>-3000</v>
      </c>
      <c r="G16" s="124" t="s">
        <v>111</v>
      </c>
    </row>
    <row r="17" spans="1:7" s="71" customFormat="1" ht="43.5" customHeight="1" thickBot="1" x14ac:dyDescent="0.35">
      <c r="A17" s="126">
        <v>12</v>
      </c>
      <c r="B17" s="106" t="s">
        <v>75</v>
      </c>
      <c r="C17" s="107">
        <v>300</v>
      </c>
      <c r="D17" s="108">
        <f t="shared" si="0"/>
        <v>3600</v>
      </c>
      <c r="E17" s="136">
        <v>3600</v>
      </c>
      <c r="F17" s="148">
        <f t="shared" si="1"/>
        <v>0</v>
      </c>
      <c r="G17" s="134" t="s">
        <v>85</v>
      </c>
    </row>
    <row r="18" spans="1:7" s="71" customFormat="1" ht="69" customHeight="1" thickBot="1" x14ac:dyDescent="0.35">
      <c r="A18" s="125">
        <v>13</v>
      </c>
      <c r="B18" s="74" t="s">
        <v>112</v>
      </c>
      <c r="C18" s="75">
        <v>0</v>
      </c>
      <c r="D18" s="76">
        <v>0</v>
      </c>
      <c r="E18" s="69">
        <v>52736.04</v>
      </c>
      <c r="F18" s="148">
        <f t="shared" si="1"/>
        <v>-52736.04</v>
      </c>
      <c r="G18" s="133"/>
    </row>
    <row r="19" spans="1:7" s="71" customFormat="1" ht="69" customHeight="1" thickBot="1" x14ac:dyDescent="0.35">
      <c r="A19" s="126">
        <v>14</v>
      </c>
      <c r="B19" s="106" t="s">
        <v>115</v>
      </c>
      <c r="C19" s="75">
        <v>0</v>
      </c>
      <c r="D19" s="76">
        <v>0</v>
      </c>
      <c r="E19" s="69">
        <v>32400</v>
      </c>
      <c r="F19" s="148">
        <f t="shared" si="1"/>
        <v>-32400</v>
      </c>
      <c r="G19" s="124" t="s">
        <v>116</v>
      </c>
    </row>
    <row r="20" spans="1:7" s="71" customFormat="1" ht="69" customHeight="1" thickBot="1" x14ac:dyDescent="0.35">
      <c r="A20" s="125">
        <v>15</v>
      </c>
      <c r="B20" s="74" t="s">
        <v>117</v>
      </c>
      <c r="C20" s="75">
        <v>0</v>
      </c>
      <c r="D20" s="76">
        <v>0</v>
      </c>
      <c r="E20" s="69">
        <v>124544.85</v>
      </c>
      <c r="F20" s="148">
        <f t="shared" si="1"/>
        <v>-124544.85</v>
      </c>
      <c r="G20" s="133" t="s">
        <v>138</v>
      </c>
    </row>
    <row r="21" spans="1:7" s="71" customFormat="1" ht="69" customHeight="1" thickBot="1" x14ac:dyDescent="0.35">
      <c r="A21" s="125">
        <v>16</v>
      </c>
      <c r="B21" s="74" t="s">
        <v>118</v>
      </c>
      <c r="C21" s="75">
        <v>0</v>
      </c>
      <c r="D21" s="76">
        <v>0</v>
      </c>
      <c r="E21" s="69">
        <v>10500</v>
      </c>
      <c r="F21" s="148">
        <f t="shared" si="1"/>
        <v>-10500</v>
      </c>
      <c r="G21" s="133" t="s">
        <v>119</v>
      </c>
    </row>
    <row r="22" spans="1:7" s="71" customFormat="1" ht="69" customHeight="1" thickBot="1" x14ac:dyDescent="0.35">
      <c r="A22" s="125">
        <v>17</v>
      </c>
      <c r="B22" s="74" t="s">
        <v>113</v>
      </c>
      <c r="C22" s="75">
        <v>0</v>
      </c>
      <c r="D22" s="76">
        <v>0</v>
      </c>
      <c r="E22" s="69">
        <v>27672</v>
      </c>
      <c r="F22" s="148">
        <f t="shared" si="1"/>
        <v>-27672</v>
      </c>
      <c r="G22" s="133" t="s">
        <v>114</v>
      </c>
    </row>
    <row r="23" spans="1:7" s="71" customFormat="1" ht="69" customHeight="1" thickBot="1" x14ac:dyDescent="0.35">
      <c r="A23" s="125">
        <v>18</v>
      </c>
      <c r="B23" s="74" t="s">
        <v>120</v>
      </c>
      <c r="C23" s="75">
        <v>0</v>
      </c>
      <c r="D23" s="76">
        <v>0</v>
      </c>
      <c r="E23" s="69">
        <v>15000</v>
      </c>
      <c r="F23" s="148">
        <f t="shared" si="1"/>
        <v>-15000</v>
      </c>
      <c r="G23" s="133"/>
    </row>
    <row r="24" spans="1:7" s="81" customFormat="1" ht="39" customHeight="1" thickBot="1" x14ac:dyDescent="0.25">
      <c r="A24" s="88">
        <v>19</v>
      </c>
      <c r="B24" s="120" t="s">
        <v>64</v>
      </c>
      <c r="C24" s="118">
        <f>SUM(C6:C23)</f>
        <v>82267.5</v>
      </c>
      <c r="D24" s="128">
        <f>SUM(D6:D18)</f>
        <v>987210</v>
      </c>
      <c r="E24" s="119">
        <v>1000325.56</v>
      </c>
      <c r="F24" s="148">
        <f t="shared" si="1"/>
        <v>-13115.560000000056</v>
      </c>
      <c r="G24" s="135"/>
    </row>
    <row r="25" spans="1:7" s="83" customFormat="1" ht="55.5" customHeight="1" thickBot="1" x14ac:dyDescent="0.3">
      <c r="A25" s="153" t="s">
        <v>90</v>
      </c>
      <c r="B25" s="154"/>
      <c r="C25" s="154"/>
      <c r="D25" s="154"/>
      <c r="E25" s="154"/>
      <c r="F25" s="155"/>
      <c r="G25" s="156"/>
    </row>
    <row r="26" spans="1:7" ht="13.5" thickBot="1" x14ac:dyDescent="0.25">
      <c r="A26" s="66"/>
      <c r="B26" s="54" t="s">
        <v>9</v>
      </c>
      <c r="C26" s="41" t="s">
        <v>10</v>
      </c>
      <c r="D26" s="42" t="s">
        <v>121</v>
      </c>
      <c r="E26" s="149" t="s">
        <v>122</v>
      </c>
      <c r="F26" s="151" t="s">
        <v>167</v>
      </c>
      <c r="G26" s="54" t="s">
        <v>11</v>
      </c>
    </row>
    <row r="27" spans="1:7" s="11" customFormat="1" ht="24.75" thickBot="1" x14ac:dyDescent="0.25">
      <c r="A27" s="57">
        <v>20</v>
      </c>
      <c r="B27" s="50" t="s">
        <v>20</v>
      </c>
      <c r="C27" s="45">
        <v>4985</v>
      </c>
      <c r="D27" s="25">
        <v>59820</v>
      </c>
      <c r="E27" s="111">
        <v>56761</v>
      </c>
      <c r="F27" s="150">
        <f>D27-E27</f>
        <v>3059</v>
      </c>
      <c r="G27" s="6" t="s">
        <v>35</v>
      </c>
    </row>
    <row r="28" spans="1:7" ht="63.75" customHeight="1" thickBot="1" x14ac:dyDescent="0.25">
      <c r="A28" s="57">
        <v>21</v>
      </c>
      <c r="B28" s="50" t="s">
        <v>124</v>
      </c>
      <c r="C28" s="21">
        <v>1666.66</v>
      </c>
      <c r="D28" s="21">
        <v>19999.919999999998</v>
      </c>
      <c r="E28" s="109">
        <v>31300</v>
      </c>
      <c r="F28" s="150">
        <f t="shared" ref="F28:F40" si="2">D28-E28</f>
        <v>-11300.080000000002</v>
      </c>
      <c r="G28" s="3" t="s">
        <v>123</v>
      </c>
    </row>
    <row r="29" spans="1:7" ht="63.75" customHeight="1" thickBot="1" x14ac:dyDescent="0.25">
      <c r="A29" s="57">
        <v>22</v>
      </c>
      <c r="B29" s="50" t="s">
        <v>125</v>
      </c>
      <c r="C29" s="32">
        <v>0</v>
      </c>
      <c r="D29" s="32">
        <v>0</v>
      </c>
      <c r="E29" s="110">
        <v>5950</v>
      </c>
      <c r="F29" s="150">
        <f t="shared" si="2"/>
        <v>-5950</v>
      </c>
      <c r="G29" s="14" t="s">
        <v>73</v>
      </c>
    </row>
    <row r="30" spans="1:7" ht="24.75" thickBot="1" x14ac:dyDescent="0.25">
      <c r="A30" s="57">
        <v>23</v>
      </c>
      <c r="B30" s="50" t="s">
        <v>26</v>
      </c>
      <c r="C30" s="21">
        <v>950</v>
      </c>
      <c r="D30" s="21">
        <v>11400</v>
      </c>
      <c r="E30" s="111">
        <v>14700</v>
      </c>
      <c r="F30" s="150">
        <f t="shared" si="2"/>
        <v>-3300</v>
      </c>
      <c r="G30" s="7" t="s">
        <v>54</v>
      </c>
    </row>
    <row r="31" spans="1:7" ht="13.5" thickBot="1" x14ac:dyDescent="0.25">
      <c r="A31" s="57">
        <v>24</v>
      </c>
      <c r="B31" s="50" t="s">
        <v>29</v>
      </c>
      <c r="C31" s="21">
        <v>2500</v>
      </c>
      <c r="D31" s="21">
        <v>30000</v>
      </c>
      <c r="E31" s="109">
        <v>30000</v>
      </c>
      <c r="F31" s="150">
        <f t="shared" si="2"/>
        <v>0</v>
      </c>
      <c r="G31" s="5" t="s">
        <v>127</v>
      </c>
    </row>
    <row r="32" spans="1:7" ht="32.25" customHeight="1" thickBot="1" x14ac:dyDescent="0.25">
      <c r="A32" s="57">
        <v>25</v>
      </c>
      <c r="B32" s="50" t="s">
        <v>5</v>
      </c>
      <c r="C32" s="21">
        <v>800</v>
      </c>
      <c r="D32" s="21">
        <v>9600</v>
      </c>
      <c r="E32" s="114">
        <v>13850</v>
      </c>
      <c r="F32" s="150">
        <f t="shared" si="2"/>
        <v>-4250</v>
      </c>
      <c r="G32" s="112" t="s">
        <v>126</v>
      </c>
    </row>
    <row r="33" spans="1:7" ht="56.25" customHeight="1" thickBot="1" x14ac:dyDescent="0.25">
      <c r="A33" s="57">
        <v>26</v>
      </c>
      <c r="B33" s="85" t="s">
        <v>92</v>
      </c>
      <c r="C33" s="32">
        <v>833</v>
      </c>
      <c r="D33" s="32">
        <v>10000</v>
      </c>
      <c r="E33" s="114">
        <v>0</v>
      </c>
      <c r="F33" s="150">
        <f t="shared" si="2"/>
        <v>10000</v>
      </c>
      <c r="G33" s="117" t="s">
        <v>93</v>
      </c>
    </row>
    <row r="34" spans="1:7" ht="13.5" thickBot="1" x14ac:dyDescent="0.25">
      <c r="A34" s="57">
        <v>27</v>
      </c>
      <c r="B34" s="50" t="s">
        <v>47</v>
      </c>
      <c r="C34" s="21">
        <f>10583.33</f>
        <v>10583.33</v>
      </c>
      <c r="D34" s="21">
        <v>127000</v>
      </c>
      <c r="E34" s="15">
        <v>127660</v>
      </c>
      <c r="F34" s="150">
        <f t="shared" si="2"/>
        <v>-660</v>
      </c>
      <c r="G34" s="113" t="s">
        <v>128</v>
      </c>
    </row>
    <row r="35" spans="1:7" ht="24.75" thickBot="1" x14ac:dyDescent="0.25">
      <c r="A35" s="57">
        <v>28</v>
      </c>
      <c r="B35" s="50" t="s">
        <v>129</v>
      </c>
      <c r="C35" s="21">
        <v>24750</v>
      </c>
      <c r="D35" s="21">
        <v>297000</v>
      </c>
      <c r="E35" s="109">
        <v>291649.5</v>
      </c>
      <c r="F35" s="150">
        <f t="shared" si="2"/>
        <v>5350.5</v>
      </c>
      <c r="G35" s="7" t="s">
        <v>130</v>
      </c>
    </row>
    <row r="36" spans="1:7" ht="13.5" thickBot="1" x14ac:dyDescent="0.25">
      <c r="A36" s="57">
        <v>29</v>
      </c>
      <c r="B36" s="50" t="s">
        <v>131</v>
      </c>
      <c r="C36" s="21">
        <v>0</v>
      </c>
      <c r="D36" s="21">
        <v>0</v>
      </c>
      <c r="E36" s="109">
        <v>5874</v>
      </c>
      <c r="F36" s="150">
        <f t="shared" si="2"/>
        <v>-5874</v>
      </c>
      <c r="G36" s="4" t="s">
        <v>132</v>
      </c>
    </row>
    <row r="37" spans="1:7" ht="24.75" thickBot="1" x14ac:dyDescent="0.25">
      <c r="A37" s="57">
        <v>30</v>
      </c>
      <c r="B37" s="50" t="s">
        <v>133</v>
      </c>
      <c r="C37" s="32">
        <v>0</v>
      </c>
      <c r="D37" s="32">
        <v>0</v>
      </c>
      <c r="E37" s="110">
        <v>8000</v>
      </c>
      <c r="F37" s="150">
        <f t="shared" si="2"/>
        <v>-8000</v>
      </c>
      <c r="G37" s="14" t="s">
        <v>134</v>
      </c>
    </row>
    <row r="38" spans="1:7" ht="36.75" thickBot="1" x14ac:dyDescent="0.25">
      <c r="A38" s="57">
        <v>31</v>
      </c>
      <c r="B38" s="50" t="s">
        <v>135</v>
      </c>
      <c r="C38" s="32">
        <v>0</v>
      </c>
      <c r="D38" s="32">
        <v>0</v>
      </c>
      <c r="E38" s="110">
        <v>41379.599999999999</v>
      </c>
      <c r="F38" s="150">
        <f t="shared" si="2"/>
        <v>-41379.599999999999</v>
      </c>
      <c r="G38" s="14" t="s">
        <v>136</v>
      </c>
    </row>
    <row r="39" spans="1:7" s="19" customFormat="1" ht="32.25" thickBot="1" x14ac:dyDescent="0.25">
      <c r="A39" s="66"/>
      <c r="B39" s="55" t="s">
        <v>48</v>
      </c>
      <c r="C39" s="36">
        <f>SUM(C27:C38)</f>
        <v>47067.99</v>
      </c>
      <c r="D39" s="36">
        <f>SUM(D27:D38)</f>
        <v>564819.91999999993</v>
      </c>
      <c r="E39" s="115">
        <f>E27+E28+E29+E30+E31+E32+E33+E34+E35+E36+E37+E38</f>
        <v>627124.1</v>
      </c>
      <c r="F39" s="152">
        <f t="shared" si="2"/>
        <v>-62304.180000000051</v>
      </c>
      <c r="G39" s="34"/>
    </row>
    <row r="40" spans="1:7" ht="22.5" customHeight="1" thickBot="1" x14ac:dyDescent="0.3">
      <c r="A40" s="57"/>
      <c r="B40" s="84" t="s">
        <v>91</v>
      </c>
      <c r="C40" s="63">
        <f>C24-C39</f>
        <v>35199.51</v>
      </c>
      <c r="D40" s="63">
        <f>D24-D39</f>
        <v>422390.08000000007</v>
      </c>
      <c r="E40" s="116">
        <f>E24-E39</f>
        <v>373201.46000000008</v>
      </c>
      <c r="F40" s="152">
        <f t="shared" si="2"/>
        <v>49188.619999999995</v>
      </c>
      <c r="G40" s="60"/>
    </row>
  </sheetData>
  <mergeCells count="8">
    <mergeCell ref="A25:G25"/>
    <mergeCell ref="B1:G2"/>
    <mergeCell ref="B3:G3"/>
    <mergeCell ref="A4:A5"/>
    <mergeCell ref="B4:B5"/>
    <mergeCell ref="G4:G5"/>
    <mergeCell ref="C4:D4"/>
    <mergeCell ref="F4:F5"/>
  </mergeCells>
  <pageMargins left="0.19685039370078741" right="0.19685039370078741" top="0.19685039370078741" bottom="0.19685039370078741" header="0.31496062992125984" footer="0.31496062992125984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pane ySplit="5" topLeftCell="A33" activePane="bottomLeft" state="frozen"/>
      <selection activeCell="A5" sqref="A5"/>
      <selection pane="bottomLeft" activeCell="K7" sqref="K7"/>
    </sheetView>
  </sheetViews>
  <sheetFormatPr defaultRowHeight="12.75" x14ac:dyDescent="0.2"/>
  <cols>
    <col min="1" max="1" width="6.28515625" style="64" customWidth="1"/>
    <col min="2" max="2" width="30.5703125" style="2" customWidth="1"/>
    <col min="3" max="3" width="9.140625" style="1"/>
    <col min="4" max="4" width="12.140625" style="24" customWidth="1"/>
    <col min="5" max="7" width="13.42578125" style="24" customWidth="1"/>
    <col min="8" max="8" width="34" style="2" customWidth="1"/>
  </cols>
  <sheetData>
    <row r="1" spans="1:10" x14ac:dyDescent="0.2">
      <c r="B1" s="157" t="s">
        <v>52</v>
      </c>
      <c r="C1" s="157"/>
      <c r="D1" s="157"/>
      <c r="E1" s="157"/>
      <c r="F1" s="158"/>
      <c r="G1" s="158"/>
      <c r="H1" s="157"/>
    </row>
    <row r="2" spans="1:10" x14ac:dyDescent="0.2">
      <c r="B2" s="157"/>
      <c r="C2" s="157"/>
      <c r="D2" s="157"/>
      <c r="E2" s="157"/>
      <c r="F2" s="158"/>
      <c r="G2" s="158"/>
      <c r="H2" s="157"/>
    </row>
    <row r="3" spans="1:10" ht="36" customHeight="1" thickBot="1" x14ac:dyDescent="0.25">
      <c r="A3" s="172" t="s">
        <v>106</v>
      </c>
      <c r="B3" s="172"/>
      <c r="C3" s="172"/>
      <c r="D3" s="172"/>
      <c r="E3" s="172"/>
      <c r="F3" s="172"/>
      <c r="G3" s="172"/>
      <c r="H3" s="172"/>
    </row>
    <row r="4" spans="1:10" s="12" customFormat="1" ht="73.5" customHeight="1" thickBot="1" x14ac:dyDescent="0.35">
      <c r="A4" s="65"/>
      <c r="B4" s="173" t="s">
        <v>107</v>
      </c>
      <c r="C4" s="173"/>
      <c r="D4" s="174"/>
      <c r="E4" s="175" t="s">
        <v>60</v>
      </c>
      <c r="F4" s="174"/>
      <c r="G4" s="139"/>
      <c r="H4" s="61" t="s">
        <v>102</v>
      </c>
    </row>
    <row r="5" spans="1:10" s="81" customFormat="1" ht="36.75" thickBot="1" x14ac:dyDescent="0.25">
      <c r="A5" s="86"/>
      <c r="B5" s="87" t="s">
        <v>94</v>
      </c>
      <c r="C5" s="10" t="s">
        <v>22</v>
      </c>
      <c r="D5" s="78" t="s">
        <v>108</v>
      </c>
      <c r="E5" s="79" t="s">
        <v>109</v>
      </c>
      <c r="F5" s="79" t="s">
        <v>139</v>
      </c>
      <c r="G5" s="79" t="s">
        <v>141</v>
      </c>
      <c r="H5" s="80" t="s">
        <v>95</v>
      </c>
    </row>
    <row r="6" spans="1:10" s="9" customFormat="1" ht="15.75" thickBot="1" x14ac:dyDescent="0.25">
      <c r="A6" s="93"/>
      <c r="B6" s="176" t="s">
        <v>57</v>
      </c>
      <c r="C6" s="177"/>
      <c r="D6" s="177"/>
      <c r="E6" s="177"/>
      <c r="F6" s="178"/>
      <c r="G6" s="178"/>
      <c r="H6" s="179"/>
    </row>
    <row r="7" spans="1:10" s="17" customFormat="1" ht="63" customHeight="1" thickBot="1" x14ac:dyDescent="0.25">
      <c r="A7" s="67">
        <v>1</v>
      </c>
      <c r="B7" s="50" t="s">
        <v>62</v>
      </c>
      <c r="C7" s="18">
        <f t="shared" ref="C7:C17" si="0">D7/26860.75</f>
        <v>2.8757573783308357</v>
      </c>
      <c r="D7" s="32">
        <v>77245</v>
      </c>
      <c r="E7" s="32">
        <v>926941</v>
      </c>
      <c r="F7" s="32">
        <v>964527.6</v>
      </c>
      <c r="G7" s="32">
        <f>E7-F7</f>
        <v>-37586.599999999977</v>
      </c>
      <c r="H7" s="3" t="s">
        <v>160</v>
      </c>
    </row>
    <row r="8" spans="1:10" s="17" customFormat="1" ht="90" customHeight="1" thickBot="1" x14ac:dyDescent="0.25">
      <c r="A8" s="57">
        <v>2</v>
      </c>
      <c r="B8" s="50" t="s">
        <v>13</v>
      </c>
      <c r="C8" s="18">
        <f t="shared" si="0"/>
        <v>1.2211125899314055</v>
      </c>
      <c r="D8" s="23">
        <v>32800</v>
      </c>
      <c r="E8" s="22">
        <v>393600</v>
      </c>
      <c r="F8" s="32">
        <v>369050</v>
      </c>
      <c r="G8" s="32">
        <f>E8-F8</f>
        <v>24550</v>
      </c>
      <c r="H8" s="5" t="s">
        <v>155</v>
      </c>
    </row>
    <row r="9" spans="1:10" s="17" customFormat="1" ht="60.75" thickBot="1" x14ac:dyDescent="0.25">
      <c r="A9" s="67">
        <v>3</v>
      </c>
      <c r="B9" s="50" t="s">
        <v>27</v>
      </c>
      <c r="C9" s="18">
        <f t="shared" si="0"/>
        <v>0.93072605939893716</v>
      </c>
      <c r="D9" s="32">
        <v>25000</v>
      </c>
      <c r="E9" s="32">
        <v>300000</v>
      </c>
      <c r="F9" s="32">
        <f>351109</f>
        <v>351109</v>
      </c>
      <c r="G9" s="32">
        <f t="shared" ref="G9:G17" si="1">E9-F9</f>
        <v>-51109</v>
      </c>
      <c r="H9" s="14" t="s">
        <v>157</v>
      </c>
    </row>
    <row r="10" spans="1:10" s="17" customFormat="1" ht="24.75" thickBot="1" x14ac:dyDescent="0.25">
      <c r="A10" s="57">
        <v>4</v>
      </c>
      <c r="B10" s="50" t="s">
        <v>58</v>
      </c>
      <c r="C10" s="18">
        <f t="shared" si="0"/>
        <v>0.55843563563936227</v>
      </c>
      <c r="D10" s="32">
        <v>15000</v>
      </c>
      <c r="E10" s="32">
        <v>120000</v>
      </c>
      <c r="F10" s="141">
        <v>99488</v>
      </c>
      <c r="G10" s="32">
        <f t="shared" si="1"/>
        <v>20512</v>
      </c>
      <c r="H10" s="14" t="s">
        <v>156</v>
      </c>
    </row>
    <row r="11" spans="1:10" s="17" customFormat="1" ht="42" customHeight="1" thickBot="1" x14ac:dyDescent="0.25">
      <c r="A11" s="67">
        <v>5</v>
      </c>
      <c r="B11" s="50" t="s">
        <v>0</v>
      </c>
      <c r="C11" s="18">
        <f t="shared" si="0"/>
        <v>1.2837690682501419</v>
      </c>
      <c r="D11" s="21">
        <v>34483</v>
      </c>
      <c r="E11" s="22">
        <v>413796</v>
      </c>
      <c r="F11" s="32">
        <v>408811.4</v>
      </c>
      <c r="G11" s="32">
        <f t="shared" si="1"/>
        <v>4984.5999999999767</v>
      </c>
      <c r="H11" s="3" t="s">
        <v>55</v>
      </c>
    </row>
    <row r="12" spans="1:10" s="17" customFormat="1" ht="87.75" customHeight="1" thickBot="1" x14ac:dyDescent="0.25">
      <c r="A12" s="57">
        <v>6</v>
      </c>
      <c r="B12" s="50" t="s">
        <v>14</v>
      </c>
      <c r="C12" s="18">
        <f t="shared" si="0"/>
        <v>0.34250718985880885</v>
      </c>
      <c r="D12" s="21">
        <v>9200</v>
      </c>
      <c r="E12" s="22">
        <v>110400</v>
      </c>
      <c r="F12" s="32">
        <v>119368.15</v>
      </c>
      <c r="G12" s="32">
        <f t="shared" si="1"/>
        <v>-8968.1499999999942</v>
      </c>
      <c r="H12" s="14" t="s">
        <v>154</v>
      </c>
    </row>
    <row r="13" spans="1:10" s="17" customFormat="1" ht="80.25" customHeight="1" thickBot="1" x14ac:dyDescent="0.25">
      <c r="A13" s="67">
        <v>7</v>
      </c>
      <c r="B13" s="143" t="s">
        <v>1</v>
      </c>
      <c r="C13" s="18">
        <f t="shared" si="0"/>
        <v>0.16047578716156474</v>
      </c>
      <c r="D13" s="21">
        <v>4310.5</v>
      </c>
      <c r="E13" s="22">
        <v>51726</v>
      </c>
      <c r="F13" s="32">
        <v>135284</v>
      </c>
      <c r="G13" s="32">
        <f t="shared" si="1"/>
        <v>-83558</v>
      </c>
      <c r="H13" s="14" t="s">
        <v>152</v>
      </c>
    </row>
    <row r="14" spans="1:10" s="17" customFormat="1" ht="88.5" customHeight="1" thickBot="1" x14ac:dyDescent="0.25">
      <c r="A14" s="57">
        <v>8</v>
      </c>
      <c r="B14" s="143" t="s">
        <v>15</v>
      </c>
      <c r="C14" s="18">
        <f t="shared" si="0"/>
        <v>0.18614521187978741</v>
      </c>
      <c r="D14" s="21">
        <v>5000</v>
      </c>
      <c r="E14" s="22">
        <v>60000</v>
      </c>
      <c r="F14" s="32">
        <v>67587.72</v>
      </c>
      <c r="G14" s="32">
        <f t="shared" si="1"/>
        <v>-7587.7200000000012</v>
      </c>
      <c r="H14" s="14" t="s">
        <v>153</v>
      </c>
    </row>
    <row r="15" spans="1:10" s="17" customFormat="1" ht="47.25" customHeight="1" thickBot="1" x14ac:dyDescent="0.25">
      <c r="A15" s="67">
        <v>9</v>
      </c>
      <c r="B15" s="143" t="s">
        <v>16</v>
      </c>
      <c r="C15" s="18">
        <f t="shared" si="0"/>
        <v>0.95853615405377735</v>
      </c>
      <c r="D15" s="21">
        <f>20000+5747</f>
        <v>25747</v>
      </c>
      <c r="E15" s="22">
        <f>240000+68964</f>
        <v>308964</v>
      </c>
      <c r="F15" s="32">
        <v>176581.5</v>
      </c>
      <c r="G15" s="32">
        <f t="shared" si="1"/>
        <v>132382.5</v>
      </c>
      <c r="H15" s="14" t="s">
        <v>59</v>
      </c>
      <c r="J15" s="146"/>
    </row>
    <row r="16" spans="1:10" s="17" customFormat="1" ht="80.25" customHeight="1" thickBot="1" x14ac:dyDescent="0.25">
      <c r="A16" s="57">
        <v>10</v>
      </c>
      <c r="B16" s="143" t="s">
        <v>17</v>
      </c>
      <c r="C16" s="18">
        <f t="shared" si="0"/>
        <v>0.41008088009456178</v>
      </c>
      <c r="D16" s="21">
        <v>11015.08</v>
      </c>
      <c r="E16" s="22">
        <v>132181</v>
      </c>
      <c r="F16" s="32">
        <v>342157.25</v>
      </c>
      <c r="G16" s="32">
        <f t="shared" si="1"/>
        <v>-209976.25</v>
      </c>
      <c r="H16" s="14" t="s">
        <v>158</v>
      </c>
    </row>
    <row r="17" spans="1:12" s="17" customFormat="1" ht="45.75" customHeight="1" thickBot="1" x14ac:dyDescent="0.25">
      <c r="A17" s="67">
        <v>11</v>
      </c>
      <c r="B17" s="143" t="s">
        <v>18</v>
      </c>
      <c r="C17" s="18">
        <f t="shared" si="0"/>
        <v>1.2295509246763401</v>
      </c>
      <c r="D17" s="21">
        <v>33026.660000000003</v>
      </c>
      <c r="E17" s="22">
        <v>396320</v>
      </c>
      <c r="F17" s="32">
        <v>438825</v>
      </c>
      <c r="G17" s="32">
        <f t="shared" si="1"/>
        <v>-42505</v>
      </c>
      <c r="H17" s="14" t="s">
        <v>159</v>
      </c>
    </row>
    <row r="18" spans="1:12" s="49" customFormat="1" ht="13.5" thickBot="1" x14ac:dyDescent="0.25">
      <c r="A18" s="57">
        <v>12</v>
      </c>
      <c r="B18" s="51" t="s">
        <v>2</v>
      </c>
      <c r="C18" s="29">
        <f>SUM(C7:C17)</f>
        <v>10.157096879275523</v>
      </c>
      <c r="D18" s="30">
        <f>SUM(D7:D17)</f>
        <v>272827.24</v>
      </c>
      <c r="E18" s="30">
        <f>SUM(E7:E17)</f>
        <v>3213928</v>
      </c>
      <c r="F18" s="30">
        <f t="shared" ref="F18:G18" si="2">SUM(F7:F17)</f>
        <v>3472789.62</v>
      </c>
      <c r="G18" s="30">
        <f t="shared" si="2"/>
        <v>-258861.62</v>
      </c>
      <c r="H18" s="31"/>
    </row>
    <row r="19" spans="1:12" s="17" customFormat="1" ht="20.25" customHeight="1" thickBot="1" x14ac:dyDescent="0.25">
      <c r="A19" s="67">
        <v>13</v>
      </c>
      <c r="B19" s="142" t="s">
        <v>19</v>
      </c>
      <c r="C19" s="13">
        <f>D19/26860.75</f>
        <v>1.3111696434388467</v>
      </c>
      <c r="D19" s="45">
        <v>35219</v>
      </c>
      <c r="E19" s="25">
        <v>422623</v>
      </c>
      <c r="F19" s="20">
        <f>489411.05-4597.6</f>
        <v>484813.45</v>
      </c>
      <c r="G19" s="20">
        <f>E19-F19</f>
        <v>-62190.450000000012</v>
      </c>
      <c r="H19" s="6" t="s">
        <v>100</v>
      </c>
    </row>
    <row r="20" spans="1:12" s="11" customFormat="1" ht="62.25" customHeight="1" thickBot="1" x14ac:dyDescent="0.25">
      <c r="A20" s="57">
        <v>14</v>
      </c>
      <c r="B20" s="91" t="s">
        <v>96</v>
      </c>
      <c r="C20" s="44">
        <f t="shared" ref="C20:C21" si="3">D20/26860.75</f>
        <v>0.12409668382305036</v>
      </c>
      <c r="D20" s="45">
        <v>3333.33</v>
      </c>
      <c r="E20" s="25">
        <v>40000</v>
      </c>
      <c r="F20" s="20">
        <v>6132.6</v>
      </c>
      <c r="G20" s="20">
        <f t="shared" ref="G20:G21" si="4">E20-F20</f>
        <v>33867.4</v>
      </c>
      <c r="H20" s="89" t="s">
        <v>97</v>
      </c>
    </row>
    <row r="21" spans="1:12" s="11" customFormat="1" ht="27.75" customHeight="1" thickBot="1" x14ac:dyDescent="0.25">
      <c r="A21" s="67">
        <v>15</v>
      </c>
      <c r="B21" s="50" t="s">
        <v>98</v>
      </c>
      <c r="C21" s="44">
        <f t="shared" si="3"/>
        <v>0.80545033180384018</v>
      </c>
      <c r="D21" s="20">
        <v>21635</v>
      </c>
      <c r="E21" s="20">
        <v>259620</v>
      </c>
      <c r="F21" s="20">
        <v>191195.46</v>
      </c>
      <c r="G21" s="20">
        <f t="shared" si="4"/>
        <v>68424.540000000008</v>
      </c>
      <c r="H21" s="14"/>
      <c r="J21" s="145"/>
      <c r="L21" s="145"/>
    </row>
    <row r="22" spans="1:12" s="49" customFormat="1" ht="13.5" thickBot="1" x14ac:dyDescent="0.25">
      <c r="A22" s="57">
        <v>16</v>
      </c>
      <c r="B22" s="52" t="s">
        <v>50</v>
      </c>
      <c r="C22" s="39">
        <f>SUM(C19:C21)</f>
        <v>2.240716659065737</v>
      </c>
      <c r="D22" s="38">
        <f t="shared" ref="D22:G22" si="5">SUM(D19:D21)</f>
        <v>60187.33</v>
      </c>
      <c r="E22" s="38">
        <f t="shared" si="5"/>
        <v>722243</v>
      </c>
      <c r="F22" s="38">
        <f t="shared" si="5"/>
        <v>682141.51</v>
      </c>
      <c r="G22" s="38">
        <f t="shared" si="5"/>
        <v>40101.49</v>
      </c>
      <c r="H22" s="37"/>
    </row>
    <row r="23" spans="1:12" s="82" customFormat="1" ht="30.75" thickBot="1" x14ac:dyDescent="0.25">
      <c r="A23" s="67">
        <v>17</v>
      </c>
      <c r="B23" s="53" t="s">
        <v>21</v>
      </c>
      <c r="C23" s="26">
        <f>C18+C22</f>
        <v>12.397813538341261</v>
      </c>
      <c r="D23" s="27">
        <f>D18+D22</f>
        <v>333014.57</v>
      </c>
      <c r="E23" s="27">
        <f>E18+E22</f>
        <v>3936171</v>
      </c>
      <c r="F23" s="27">
        <f>F18+F22</f>
        <v>4154931.13</v>
      </c>
      <c r="G23" s="27">
        <f t="shared" ref="G23" si="6">G18+G22</f>
        <v>-218760.13</v>
      </c>
      <c r="H23" s="28"/>
    </row>
    <row r="24" spans="1:12" s="48" customFormat="1" ht="15.75" thickBot="1" x14ac:dyDescent="0.25">
      <c r="A24" s="57">
        <v>18</v>
      </c>
      <c r="B24" s="180" t="s">
        <v>12</v>
      </c>
      <c r="C24" s="181"/>
      <c r="D24" s="181"/>
      <c r="E24" s="181"/>
      <c r="F24" s="180"/>
      <c r="G24" s="180"/>
      <c r="H24" s="182"/>
    </row>
    <row r="25" spans="1:12" s="90" customFormat="1" ht="36.75" thickBot="1" x14ac:dyDescent="0.25">
      <c r="A25" s="67">
        <v>19</v>
      </c>
      <c r="B25" s="100" t="s">
        <v>94</v>
      </c>
      <c r="C25" s="68" t="s">
        <v>23</v>
      </c>
      <c r="D25" s="101" t="s">
        <v>89</v>
      </c>
      <c r="E25" s="42" t="s">
        <v>51</v>
      </c>
      <c r="F25" s="140" t="s">
        <v>139</v>
      </c>
      <c r="G25" s="140" t="s">
        <v>141</v>
      </c>
      <c r="H25" s="102" t="s">
        <v>86</v>
      </c>
    </row>
    <row r="26" spans="1:12" s="17" customFormat="1" ht="75" customHeight="1" thickBot="1" x14ac:dyDescent="0.25">
      <c r="A26" s="57">
        <v>20</v>
      </c>
      <c r="B26" s="94" t="s">
        <v>104</v>
      </c>
      <c r="C26" s="13">
        <f>D26/26860.75</f>
        <v>0.38780252474955712</v>
      </c>
      <c r="D26" s="21">
        <f>E26/12</f>
        <v>10416.666666666666</v>
      </c>
      <c r="E26" s="21">
        <v>125000</v>
      </c>
      <c r="F26" s="32">
        <f>12682.64+7001.19+7198+143159.47+39109.3+36431.48+456.24</f>
        <v>246038.31999999998</v>
      </c>
      <c r="G26" s="32">
        <f>E26-F26</f>
        <v>-121038.31999999998</v>
      </c>
      <c r="H26" s="3" t="s">
        <v>140</v>
      </c>
    </row>
    <row r="27" spans="1:12" s="17" customFormat="1" ht="53.25" customHeight="1" thickBot="1" x14ac:dyDescent="0.25">
      <c r="A27" s="67">
        <v>21</v>
      </c>
      <c r="B27" s="99" t="s">
        <v>103</v>
      </c>
      <c r="C27" s="13">
        <f>D27/26860.75</f>
        <v>0.23268151484973429</v>
      </c>
      <c r="D27" s="21">
        <f>E27/12</f>
        <v>6250</v>
      </c>
      <c r="E27" s="32">
        <v>75000</v>
      </c>
      <c r="F27" s="32">
        <f>132220.19</f>
        <v>132220.19</v>
      </c>
      <c r="G27" s="32">
        <f t="shared" ref="G27:G50" si="7">E27-F27</f>
        <v>-57220.19</v>
      </c>
      <c r="H27" s="3" t="s">
        <v>105</v>
      </c>
    </row>
    <row r="28" spans="1:12" s="17" customFormat="1" ht="24.75" thickBot="1" x14ac:dyDescent="0.25">
      <c r="A28" s="57">
        <v>22</v>
      </c>
      <c r="B28" s="143" t="s">
        <v>56</v>
      </c>
      <c r="C28" s="13">
        <f t="shared" ref="C28" si="8">D28/26860.75</f>
        <v>0.55843563563936227</v>
      </c>
      <c r="D28" s="32">
        <v>15000</v>
      </c>
      <c r="E28" s="32">
        <v>180000</v>
      </c>
      <c r="F28" s="32">
        <v>0</v>
      </c>
      <c r="G28" s="32">
        <f t="shared" si="7"/>
        <v>180000</v>
      </c>
      <c r="H28" s="14"/>
    </row>
    <row r="29" spans="1:12" s="17" customFormat="1" ht="30" customHeight="1" thickBot="1" x14ac:dyDescent="0.25">
      <c r="A29" s="67">
        <v>23</v>
      </c>
      <c r="B29" s="50" t="s">
        <v>24</v>
      </c>
      <c r="C29" s="13">
        <f t="shared" ref="C29:C43" si="9">D29/26860.75</f>
        <v>0.16503634485261953</v>
      </c>
      <c r="D29" s="21">
        <v>4433</v>
      </c>
      <c r="E29" s="21">
        <v>53196</v>
      </c>
      <c r="F29" s="32">
        <v>53410.61</v>
      </c>
      <c r="G29" s="32">
        <f t="shared" si="7"/>
        <v>-214.61000000000058</v>
      </c>
      <c r="H29" s="4" t="s">
        <v>25</v>
      </c>
    </row>
    <row r="30" spans="1:12" s="17" customFormat="1" ht="13.5" thickBot="1" x14ac:dyDescent="0.25">
      <c r="A30" s="57">
        <v>24</v>
      </c>
      <c r="B30" s="50" t="s">
        <v>99</v>
      </c>
      <c r="C30" s="13">
        <f t="shared" si="9"/>
        <v>0.14891616950382994</v>
      </c>
      <c r="D30" s="21">
        <v>4000</v>
      </c>
      <c r="E30" s="21">
        <v>48000</v>
      </c>
      <c r="F30" s="32">
        <f>43683.94</f>
        <v>43683.94</v>
      </c>
      <c r="G30" s="32">
        <f t="shared" si="7"/>
        <v>4316.0599999999977</v>
      </c>
      <c r="H30" s="3" t="s">
        <v>53</v>
      </c>
    </row>
    <row r="31" spans="1:12" s="17" customFormat="1" ht="36.75" thickBot="1" x14ac:dyDescent="0.25">
      <c r="A31" s="67">
        <v>25</v>
      </c>
      <c r="B31" s="50" t="s">
        <v>30</v>
      </c>
      <c r="C31" s="13">
        <f t="shared" si="9"/>
        <v>9.3072605939893707E-2</v>
      </c>
      <c r="D31" s="32">
        <v>2500</v>
      </c>
      <c r="E31" s="32">
        <v>30000</v>
      </c>
      <c r="F31" s="141">
        <v>54298.23</v>
      </c>
      <c r="G31" s="32">
        <f t="shared" si="7"/>
        <v>-24298.230000000003</v>
      </c>
      <c r="H31" s="5" t="s">
        <v>161</v>
      </c>
    </row>
    <row r="32" spans="1:12" s="17" customFormat="1" ht="13.5" thickBot="1" x14ac:dyDescent="0.25">
      <c r="A32" s="57">
        <v>26</v>
      </c>
      <c r="B32" s="50" t="s">
        <v>28</v>
      </c>
      <c r="C32" s="13">
        <f t="shared" si="9"/>
        <v>1.9731392459257466</v>
      </c>
      <c r="D32" s="21">
        <v>53000</v>
      </c>
      <c r="E32" s="21">
        <v>636000</v>
      </c>
      <c r="F32" s="32">
        <f>567000.91+5411.32</f>
        <v>572412.23</v>
      </c>
      <c r="G32" s="32">
        <f t="shared" si="7"/>
        <v>63587.770000000019</v>
      </c>
      <c r="H32" s="5" t="s">
        <v>32</v>
      </c>
    </row>
    <row r="33" spans="1:8" s="17" customFormat="1" ht="24.75" thickBot="1" x14ac:dyDescent="0.25">
      <c r="A33" s="67">
        <v>27</v>
      </c>
      <c r="B33" s="50" t="s">
        <v>101</v>
      </c>
      <c r="C33" s="13">
        <f t="shared" si="9"/>
        <v>5.584356356393623E-2</v>
      </c>
      <c r="D33" s="21">
        <v>1500</v>
      </c>
      <c r="E33" s="21">
        <v>18000</v>
      </c>
      <c r="F33" s="32">
        <f>15480+799+10550</f>
        <v>26829</v>
      </c>
      <c r="G33" s="32">
        <f t="shared" si="7"/>
        <v>-8829</v>
      </c>
      <c r="H33" s="5" t="s">
        <v>149</v>
      </c>
    </row>
    <row r="34" spans="1:8" s="17" customFormat="1" ht="30.75" customHeight="1" thickBot="1" x14ac:dyDescent="0.25">
      <c r="A34" s="57">
        <v>28</v>
      </c>
      <c r="B34" s="50" t="s">
        <v>3</v>
      </c>
      <c r="C34" s="13">
        <f t="shared" si="9"/>
        <v>3.1024077883156653E-2</v>
      </c>
      <c r="D34" s="21">
        <f>833.33</f>
        <v>833.33</v>
      </c>
      <c r="E34" s="21">
        <v>10000</v>
      </c>
      <c r="F34" s="32">
        <v>18316.5</v>
      </c>
      <c r="G34" s="32">
        <f t="shared" si="7"/>
        <v>-8316.5</v>
      </c>
      <c r="H34" s="5" t="s">
        <v>33</v>
      </c>
    </row>
    <row r="35" spans="1:8" s="17" customFormat="1" ht="51.75" customHeight="1" thickBot="1" x14ac:dyDescent="0.25">
      <c r="A35" s="67">
        <v>29</v>
      </c>
      <c r="B35" s="50" t="s">
        <v>4</v>
      </c>
      <c r="C35" s="13">
        <f t="shared" si="9"/>
        <v>3.1024201979964573E-2</v>
      </c>
      <c r="D35" s="21">
        <f>E35/12</f>
        <v>833.33333333333337</v>
      </c>
      <c r="E35" s="21">
        <v>10000</v>
      </c>
      <c r="F35" s="32">
        <v>5769.23</v>
      </c>
      <c r="G35" s="32">
        <f t="shared" si="7"/>
        <v>4230.7700000000004</v>
      </c>
      <c r="H35" s="3" t="s">
        <v>31</v>
      </c>
    </row>
    <row r="36" spans="1:8" s="17" customFormat="1" ht="27" customHeight="1" thickBot="1" x14ac:dyDescent="0.25">
      <c r="A36" s="57">
        <v>30</v>
      </c>
      <c r="B36" s="50" t="s">
        <v>8</v>
      </c>
      <c r="C36" s="13">
        <f t="shared" si="9"/>
        <v>1.5511852796366446E-2</v>
      </c>
      <c r="D36" s="21">
        <v>416.66</v>
      </c>
      <c r="E36" s="21">
        <v>5000</v>
      </c>
      <c r="F36" s="32">
        <v>2550</v>
      </c>
      <c r="G36" s="32">
        <f t="shared" si="7"/>
        <v>2450</v>
      </c>
      <c r="H36" s="7" t="s">
        <v>44</v>
      </c>
    </row>
    <row r="37" spans="1:8" s="17" customFormat="1" ht="23.25" customHeight="1" thickBot="1" x14ac:dyDescent="0.25">
      <c r="A37" s="67">
        <v>31</v>
      </c>
      <c r="B37" s="50" t="s">
        <v>36</v>
      </c>
      <c r="C37" s="13">
        <f t="shared" si="9"/>
        <v>0.17063311088980512</v>
      </c>
      <c r="D37" s="21">
        <f>E37/12</f>
        <v>4583.333333333333</v>
      </c>
      <c r="E37" s="21">
        <v>55000</v>
      </c>
      <c r="F37" s="32">
        <v>53000</v>
      </c>
      <c r="G37" s="32">
        <f t="shared" si="7"/>
        <v>2000</v>
      </c>
      <c r="H37" s="8" t="s">
        <v>34</v>
      </c>
    </row>
    <row r="38" spans="1:8" s="17" customFormat="1" ht="35.25" customHeight="1" thickBot="1" x14ac:dyDescent="0.25">
      <c r="A38" s="57">
        <v>32</v>
      </c>
      <c r="B38" s="50" t="s">
        <v>6</v>
      </c>
      <c r="C38" s="13">
        <f t="shared" si="9"/>
        <v>0.81159312379587312</v>
      </c>
      <c r="D38" s="21">
        <v>21800</v>
      </c>
      <c r="E38" s="21">
        <v>261600</v>
      </c>
      <c r="F38" s="32">
        <v>261600</v>
      </c>
      <c r="G38" s="32">
        <f t="shared" si="7"/>
        <v>0</v>
      </c>
      <c r="H38" s="8" t="s">
        <v>34</v>
      </c>
    </row>
    <row r="39" spans="1:8" s="17" customFormat="1" ht="24.75" thickBot="1" x14ac:dyDescent="0.25">
      <c r="A39" s="67">
        <v>33</v>
      </c>
      <c r="B39" s="50" t="s">
        <v>37</v>
      </c>
      <c r="C39" s="13">
        <f t="shared" si="9"/>
        <v>0.15512100989982286</v>
      </c>
      <c r="D39" s="21">
        <f>E39/12</f>
        <v>4166.666666666667</v>
      </c>
      <c r="E39" s="21">
        <v>50000</v>
      </c>
      <c r="F39" s="32">
        <f>14144.2</f>
        <v>14144.2</v>
      </c>
      <c r="G39" s="32">
        <f t="shared" si="7"/>
        <v>35855.800000000003</v>
      </c>
      <c r="H39" s="8" t="s">
        <v>38</v>
      </c>
    </row>
    <row r="40" spans="1:8" s="17" customFormat="1" ht="24.75" thickBot="1" x14ac:dyDescent="0.25">
      <c r="A40" s="57">
        <v>34</v>
      </c>
      <c r="B40" s="50" t="s">
        <v>39</v>
      </c>
      <c r="C40" s="13">
        <f t="shared" si="9"/>
        <v>3.1024077883156653E-2</v>
      </c>
      <c r="D40" s="21">
        <v>833.33</v>
      </c>
      <c r="E40" s="21">
        <v>10000</v>
      </c>
      <c r="F40" s="32">
        <v>10000</v>
      </c>
      <c r="G40" s="32">
        <f t="shared" si="7"/>
        <v>0</v>
      </c>
      <c r="H40" s="5" t="s">
        <v>40</v>
      </c>
    </row>
    <row r="41" spans="1:8" s="17" customFormat="1" ht="36.75" thickBot="1" x14ac:dyDescent="0.25">
      <c r="A41" s="67">
        <v>35</v>
      </c>
      <c r="B41" s="50" t="s">
        <v>42</v>
      </c>
      <c r="C41" s="13">
        <f t="shared" si="9"/>
        <v>0.23888610705211136</v>
      </c>
      <c r="D41" s="21">
        <v>6416.66</v>
      </c>
      <c r="E41" s="21">
        <v>77000</v>
      </c>
      <c r="F41" s="32">
        <f>88686.87</f>
        <v>88686.87</v>
      </c>
      <c r="G41" s="32">
        <f t="shared" si="7"/>
        <v>-11686.869999999995</v>
      </c>
      <c r="H41" s="5" t="s">
        <v>43</v>
      </c>
    </row>
    <row r="42" spans="1:8" s="17" customFormat="1" ht="24.75" thickBot="1" x14ac:dyDescent="0.25">
      <c r="A42" s="57">
        <v>36</v>
      </c>
      <c r="B42" s="143" t="s">
        <v>7</v>
      </c>
      <c r="C42" s="13">
        <f t="shared" si="9"/>
        <v>0.31024189570283778</v>
      </c>
      <c r="D42" s="21">
        <v>8333.33</v>
      </c>
      <c r="E42" s="21">
        <v>100000</v>
      </c>
      <c r="F42" s="32">
        <v>100000</v>
      </c>
      <c r="G42" s="32">
        <f t="shared" si="7"/>
        <v>0</v>
      </c>
      <c r="H42" s="8" t="s">
        <v>41</v>
      </c>
    </row>
    <row r="43" spans="1:8" s="17" customFormat="1" ht="24.75" thickBot="1" x14ac:dyDescent="0.25">
      <c r="A43" s="67">
        <v>37</v>
      </c>
      <c r="B43" s="50" t="s">
        <v>46</v>
      </c>
      <c r="C43" s="13">
        <f t="shared" si="9"/>
        <v>0.55843563563936227</v>
      </c>
      <c r="D43" s="21">
        <f>E43/12</f>
        <v>15000</v>
      </c>
      <c r="E43" s="21">
        <v>180000</v>
      </c>
      <c r="F43" s="32">
        <v>177200</v>
      </c>
      <c r="G43" s="32">
        <f t="shared" si="7"/>
        <v>2800</v>
      </c>
      <c r="H43" s="4" t="s">
        <v>45</v>
      </c>
    </row>
    <row r="44" spans="1:8" s="17" customFormat="1" ht="24.75" thickBot="1" x14ac:dyDescent="0.25">
      <c r="A44" s="57">
        <v>38</v>
      </c>
      <c r="B44" s="50" t="s">
        <v>146</v>
      </c>
      <c r="C44" s="18"/>
      <c r="D44" s="32"/>
      <c r="E44" s="32">
        <v>0</v>
      </c>
      <c r="F44" s="32">
        <f>37931+209155.68</f>
        <v>247086.68</v>
      </c>
      <c r="G44" s="32">
        <f t="shared" si="7"/>
        <v>-247086.68</v>
      </c>
      <c r="H44" s="14" t="s">
        <v>162</v>
      </c>
    </row>
    <row r="45" spans="1:8" s="17" customFormat="1" ht="24.75" thickBot="1" x14ac:dyDescent="0.25">
      <c r="A45" s="67">
        <v>39</v>
      </c>
      <c r="B45" s="50" t="s">
        <v>142</v>
      </c>
      <c r="C45" s="18"/>
      <c r="D45" s="32"/>
      <c r="E45" s="32">
        <f>81985*4</f>
        <v>327940</v>
      </c>
      <c r="F45" s="32">
        <v>327942.40000000002</v>
      </c>
      <c r="G45" s="32">
        <f t="shared" si="7"/>
        <v>-2.4000000000232831</v>
      </c>
      <c r="H45" s="14"/>
    </row>
    <row r="46" spans="1:8" s="17" customFormat="1" ht="24.75" thickBot="1" x14ac:dyDescent="0.25">
      <c r="A46" s="57">
        <v>40</v>
      </c>
      <c r="B46" s="50" t="s">
        <v>150</v>
      </c>
      <c r="C46" s="18"/>
      <c r="D46" s="32"/>
      <c r="E46" s="32">
        <f>18000*4</f>
        <v>72000</v>
      </c>
      <c r="F46" s="32">
        <v>389021.37</v>
      </c>
      <c r="G46" s="32">
        <f t="shared" si="7"/>
        <v>-317021.37</v>
      </c>
      <c r="H46" s="14"/>
    </row>
    <row r="47" spans="1:8" s="17" customFormat="1" ht="24.75" thickBot="1" x14ac:dyDescent="0.25">
      <c r="A47" s="67">
        <v>41</v>
      </c>
      <c r="B47" s="50" t="s">
        <v>144</v>
      </c>
      <c r="C47" s="18"/>
      <c r="D47" s="32"/>
      <c r="E47" s="32">
        <v>0</v>
      </c>
      <c r="F47" s="32">
        <v>35375</v>
      </c>
      <c r="G47" s="32">
        <f t="shared" si="7"/>
        <v>-35375</v>
      </c>
      <c r="H47" s="14" t="s">
        <v>145</v>
      </c>
    </row>
    <row r="48" spans="1:8" s="17" customFormat="1" ht="24.75" thickBot="1" x14ac:dyDescent="0.25">
      <c r="A48" s="57">
        <v>42</v>
      </c>
      <c r="B48" s="50" t="s">
        <v>147</v>
      </c>
      <c r="C48" s="18"/>
      <c r="D48" s="32"/>
      <c r="E48" s="32">
        <v>0</v>
      </c>
      <c r="F48" s="32">
        <f>13715.09</f>
        <v>13715.09</v>
      </c>
      <c r="G48" s="32">
        <f t="shared" si="7"/>
        <v>-13715.09</v>
      </c>
      <c r="H48" s="14"/>
    </row>
    <row r="49" spans="1:8" s="17" customFormat="1" ht="13.5" thickBot="1" x14ac:dyDescent="0.25">
      <c r="A49" s="67">
        <v>43</v>
      </c>
      <c r="B49" s="50" t="s">
        <v>148</v>
      </c>
      <c r="C49" s="18"/>
      <c r="D49" s="32"/>
      <c r="E49" s="32">
        <v>0</v>
      </c>
      <c r="F49" s="32">
        <v>22204</v>
      </c>
      <c r="G49" s="32">
        <f t="shared" si="7"/>
        <v>-22204</v>
      </c>
      <c r="H49" s="14"/>
    </row>
    <row r="50" spans="1:8" s="17" customFormat="1" ht="24.75" thickBot="1" x14ac:dyDescent="0.25">
      <c r="A50" s="57">
        <v>44</v>
      </c>
      <c r="B50" s="50" t="s">
        <v>143</v>
      </c>
      <c r="C50" s="18"/>
      <c r="D50" s="32"/>
      <c r="E50" s="32">
        <v>0</v>
      </c>
      <c r="F50" s="32">
        <f>18072.62+20000</f>
        <v>38072.619999999995</v>
      </c>
      <c r="G50" s="32">
        <f t="shared" si="7"/>
        <v>-38072.619999999995</v>
      </c>
      <c r="H50" s="14" t="s">
        <v>151</v>
      </c>
    </row>
    <row r="51" spans="1:8" s="90" customFormat="1" ht="32.25" thickBot="1" x14ac:dyDescent="0.25">
      <c r="A51" s="67">
        <v>45</v>
      </c>
      <c r="B51" s="95" t="s">
        <v>48</v>
      </c>
      <c r="C51" s="40">
        <f>SUM(C26:C43)</f>
        <v>5.9684226985471351</v>
      </c>
      <c r="D51" s="96">
        <f>SUM(D26:D43)</f>
        <v>160316.30999999997</v>
      </c>
      <c r="E51" s="96">
        <f>SUM(E26:E45)</f>
        <v>2251736</v>
      </c>
      <c r="F51" s="96">
        <f>SUM(F26:F50)</f>
        <v>2933576.48</v>
      </c>
      <c r="G51" s="96">
        <f>SUM(G26:G50)</f>
        <v>-609840.48</v>
      </c>
      <c r="H51" s="98"/>
    </row>
    <row r="52" spans="1:8" s="43" customFormat="1" ht="16.5" thickBot="1" x14ac:dyDescent="0.25">
      <c r="A52" s="57">
        <v>46</v>
      </c>
      <c r="B52" s="144" t="s">
        <v>49</v>
      </c>
      <c r="C52" s="35">
        <f>C23+C51</f>
        <v>18.366236236888398</v>
      </c>
      <c r="D52" s="36">
        <f>D23+D51</f>
        <v>493330.88</v>
      </c>
      <c r="E52" s="36">
        <f>E23+E51</f>
        <v>6187907</v>
      </c>
      <c r="F52" s="36">
        <f>F23+F51</f>
        <v>7088507.6099999994</v>
      </c>
      <c r="G52" s="36">
        <f>G23+G51</f>
        <v>-828600.61</v>
      </c>
      <c r="H52" s="97"/>
    </row>
    <row r="53" spans="1:8" s="17" customFormat="1" ht="48.75" thickBot="1" x14ac:dyDescent="0.25">
      <c r="A53" s="67">
        <v>47</v>
      </c>
      <c r="B53" s="56" t="s">
        <v>61</v>
      </c>
      <c r="C53" s="40">
        <v>0.38</v>
      </c>
      <c r="D53" s="46">
        <v>10073</v>
      </c>
      <c r="E53" s="46">
        <f>D53*12</f>
        <v>120876</v>
      </c>
      <c r="F53" s="103">
        <v>0</v>
      </c>
      <c r="G53" s="103"/>
      <c r="H53" s="33"/>
    </row>
    <row r="54" spans="1:8" s="43" customFormat="1" ht="47.25" customHeight="1" thickBot="1" x14ac:dyDescent="0.25">
      <c r="A54" s="67">
        <v>48</v>
      </c>
      <c r="B54" s="58" t="s">
        <v>165</v>
      </c>
      <c r="C54" s="169">
        <v>6444893</v>
      </c>
      <c r="D54" s="170"/>
      <c r="E54" s="170"/>
      <c r="F54" s="170"/>
      <c r="G54" s="171"/>
      <c r="H54" s="59"/>
    </row>
    <row r="55" spans="1:8" s="49" customFormat="1" ht="32.25" customHeight="1" thickBot="1" x14ac:dyDescent="0.25">
      <c r="A55" s="147">
        <v>49</v>
      </c>
      <c r="B55" s="167" t="s">
        <v>163</v>
      </c>
      <c r="C55" s="167"/>
      <c r="D55" s="168"/>
      <c r="E55" s="47">
        <v>18.75</v>
      </c>
      <c r="F55" s="104"/>
      <c r="G55" s="104"/>
      <c r="H55" s="62"/>
    </row>
    <row r="56" spans="1:8" ht="36" customHeight="1" thickBot="1" x14ac:dyDescent="0.25">
      <c r="A56" s="147">
        <v>50</v>
      </c>
      <c r="B56" s="167" t="s">
        <v>164</v>
      </c>
      <c r="C56" s="167"/>
      <c r="D56" s="168"/>
      <c r="E56" s="47">
        <v>22.48</v>
      </c>
      <c r="F56" s="104"/>
      <c r="G56" s="104"/>
      <c r="H56" s="62"/>
    </row>
    <row r="59" spans="1:8" x14ac:dyDescent="0.2">
      <c r="D59" s="92"/>
    </row>
  </sheetData>
  <mergeCells count="9">
    <mergeCell ref="B56:D56"/>
    <mergeCell ref="C54:G54"/>
    <mergeCell ref="B55:D55"/>
    <mergeCell ref="A3:H3"/>
    <mergeCell ref="B1:H2"/>
    <mergeCell ref="B4:D4"/>
    <mergeCell ref="E4:F4"/>
    <mergeCell ref="B6:H6"/>
    <mergeCell ref="B24:H24"/>
  </mergeCells>
  <pageMargins left="0.19685039370078741" right="0.19685039370078741" top="0.19685039370078741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Смета коммерч.-утверждено</vt:lpstr>
      <vt:lpstr>Cмета  -цел. взносы - утверж</vt:lpstr>
      <vt:lpstr>'Cмета  -цел. взносы - утверж'!Заголовки_для_печати</vt:lpstr>
      <vt:lpstr>'Смета коммерч.-утверждено'!Заголовки_для_печати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Светлое ТСЖ</dc:creator>
  <cp:lastModifiedBy>Админ</cp:lastModifiedBy>
  <cp:lastPrinted>2017-04-04T06:36:47Z</cp:lastPrinted>
  <dcterms:created xsi:type="dcterms:W3CDTF">2016-04-15T13:44:26Z</dcterms:created>
  <dcterms:modified xsi:type="dcterms:W3CDTF">2017-04-04T07:07:34Z</dcterms:modified>
</cp:coreProperties>
</file>