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ое\Desktop\"/>
    </mc:Choice>
  </mc:AlternateContent>
  <bookViews>
    <workbookView xWindow="3516" yWindow="720" windowWidth="24012" windowHeight="14880"/>
  </bookViews>
  <sheets>
    <sheet name="исп для печати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2" i="2" l="1"/>
  <c r="F65" i="2"/>
  <c r="F63" i="2" s="1"/>
  <c r="F59" i="2"/>
  <c r="E120" i="2"/>
  <c r="D120" i="2"/>
  <c r="E119" i="2"/>
  <c r="D119" i="2"/>
  <c r="C118" i="2"/>
  <c r="E118" i="2" s="1"/>
  <c r="F117" i="2"/>
  <c r="C117" i="2"/>
  <c r="E117" i="2" s="1"/>
  <c r="F116" i="2"/>
  <c r="C116" i="2"/>
  <c r="E116" i="2" s="1"/>
  <c r="C115" i="2"/>
  <c r="E115" i="2" s="1"/>
  <c r="E112" i="2"/>
  <c r="D112" i="2"/>
  <c r="F111" i="2"/>
  <c r="E111" i="2"/>
  <c r="D111" i="2"/>
  <c r="C110" i="2"/>
  <c r="E109" i="2"/>
  <c r="D109" i="2"/>
  <c r="E108" i="2"/>
  <c r="D108" i="2"/>
  <c r="E107" i="2"/>
  <c r="D107" i="2"/>
  <c r="F106" i="2"/>
  <c r="C106" i="2"/>
  <c r="E105" i="2"/>
  <c r="E104" i="2" s="1"/>
  <c r="D105" i="2"/>
  <c r="D104" i="2" s="1"/>
  <c r="F104" i="2"/>
  <c r="C104" i="2"/>
  <c r="E103" i="2"/>
  <c r="E102" i="2" s="1"/>
  <c r="D103" i="2"/>
  <c r="F102" i="2"/>
  <c r="D102" i="2"/>
  <c r="C102" i="2"/>
  <c r="E101" i="2"/>
  <c r="E100" i="2"/>
  <c r="E99" i="2"/>
  <c r="D99" i="2"/>
  <c r="F98" i="2"/>
  <c r="D98" i="2"/>
  <c r="C98" i="2"/>
  <c r="E97" i="2"/>
  <c r="D97" i="2"/>
  <c r="E96" i="2"/>
  <c r="D96" i="2"/>
  <c r="C95" i="2"/>
  <c r="C94" i="2"/>
  <c r="D94" i="2" s="1"/>
  <c r="F93" i="2"/>
  <c r="E92" i="2"/>
  <c r="D92" i="2"/>
  <c r="C91" i="2"/>
  <c r="E91" i="2" s="1"/>
  <c r="E90" i="2"/>
  <c r="D90" i="2"/>
  <c r="E89" i="2"/>
  <c r="D89" i="2"/>
  <c r="F88" i="2"/>
  <c r="C88" i="2"/>
  <c r="D88" i="2" s="1"/>
  <c r="D87" i="2"/>
  <c r="C87" i="2" s="1"/>
  <c r="E87" i="2" s="1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D79" i="2"/>
  <c r="C79" i="2" s="1"/>
  <c r="E79" i="2" s="1"/>
  <c r="F78" i="2"/>
  <c r="F73" i="2" s="1"/>
  <c r="E78" i="2"/>
  <c r="D78" i="2"/>
  <c r="C77" i="2"/>
  <c r="E77" i="2" s="1"/>
  <c r="C76" i="2"/>
  <c r="E76" i="2" s="1"/>
  <c r="E75" i="2"/>
  <c r="D75" i="2"/>
  <c r="E74" i="2"/>
  <c r="D74" i="2"/>
  <c r="F72" i="2"/>
  <c r="F68" i="2" s="1"/>
  <c r="E72" i="2"/>
  <c r="D72" i="2"/>
  <c r="C71" i="2"/>
  <c r="E71" i="2" s="1"/>
  <c r="C70" i="2"/>
  <c r="E69" i="2"/>
  <c r="D69" i="2"/>
  <c r="E67" i="2"/>
  <c r="E66" i="2" s="1"/>
  <c r="D67" i="2"/>
  <c r="F66" i="2"/>
  <c r="D66" i="2"/>
  <c r="C66" i="2"/>
  <c r="C65" i="2"/>
  <c r="E65" i="2" s="1"/>
  <c r="E64" i="2"/>
  <c r="D64" i="2"/>
  <c r="D63" i="2" s="1"/>
  <c r="C61" i="2"/>
  <c r="E61" i="2" s="1"/>
  <c r="F60" i="2"/>
  <c r="E60" i="2"/>
  <c r="D60" i="2"/>
  <c r="E59" i="2"/>
  <c r="D59" i="2"/>
  <c r="E58" i="2"/>
  <c r="D58" i="2"/>
  <c r="E57" i="2"/>
  <c r="D57" i="2"/>
  <c r="F56" i="2"/>
  <c r="E56" i="2"/>
  <c r="D56" i="2"/>
  <c r="C54" i="2"/>
  <c r="E54" i="2" s="1"/>
  <c r="C53" i="2"/>
  <c r="E53" i="2" s="1"/>
  <c r="E52" i="2"/>
  <c r="D52" i="2"/>
  <c r="E51" i="2"/>
  <c r="D51" i="2"/>
  <c r="F50" i="2"/>
  <c r="E49" i="2"/>
  <c r="D49" i="2"/>
  <c r="E48" i="2"/>
  <c r="D48" i="2"/>
  <c r="C47" i="2"/>
  <c r="E47" i="2" s="1"/>
  <c r="C46" i="2"/>
  <c r="E46" i="2" s="1"/>
  <c r="C45" i="2"/>
  <c r="E45" i="2" s="1"/>
  <c r="E44" i="2"/>
  <c r="D44" i="2"/>
  <c r="F43" i="2"/>
  <c r="F40" i="2" s="1"/>
  <c r="E43" i="2"/>
  <c r="D43" i="2"/>
  <c r="E42" i="2"/>
  <c r="D42" i="2"/>
  <c r="E41" i="2"/>
  <c r="D41" i="2"/>
  <c r="E39" i="2"/>
  <c r="E38" i="2" s="1"/>
  <c r="D39" i="2"/>
  <c r="F38" i="2"/>
  <c r="D38" i="2"/>
  <c r="C38" i="2"/>
  <c r="E34" i="2"/>
  <c r="D34" i="2"/>
  <c r="E33" i="2"/>
  <c r="D33" i="2"/>
  <c r="E32" i="2"/>
  <c r="D32" i="2"/>
  <c r="E31" i="2"/>
  <c r="D31" i="2"/>
  <c r="F30" i="2"/>
  <c r="D30" i="2"/>
  <c r="C30" i="2"/>
  <c r="E30" i="2" s="1"/>
  <c r="E29" i="2"/>
  <c r="D29" i="2"/>
  <c r="D28" i="2"/>
  <c r="E27" i="2"/>
  <c r="D27" i="2"/>
  <c r="E26" i="2"/>
  <c r="D26" i="2"/>
  <c r="E25" i="2"/>
  <c r="D25" i="2"/>
  <c r="E24" i="2"/>
  <c r="D24" i="2"/>
  <c r="F23" i="2"/>
  <c r="C23" i="2"/>
  <c r="E23" i="2" s="1"/>
  <c r="E22" i="2"/>
  <c r="D22" i="2"/>
  <c r="D21" i="2"/>
  <c r="F20" i="2"/>
  <c r="E20" i="2"/>
  <c r="D20" i="2"/>
  <c r="E19" i="2"/>
  <c r="D19" i="2"/>
  <c r="F18" i="2"/>
  <c r="E18" i="2"/>
  <c r="D18" i="2"/>
  <c r="E17" i="2"/>
  <c r="D17" i="2"/>
  <c r="C16" i="2"/>
  <c r="D16" i="2" s="1"/>
  <c r="E15" i="2"/>
  <c r="D15" i="2"/>
  <c r="D14" i="2"/>
  <c r="D13" i="2"/>
  <c r="E12" i="2"/>
  <c r="D12" i="2"/>
  <c r="D11" i="2"/>
  <c r="E10" i="2"/>
  <c r="D10" i="2"/>
  <c r="F9" i="2"/>
  <c r="C9" i="2"/>
  <c r="E7" i="2"/>
  <c r="D7" i="2"/>
  <c r="C55" i="2" l="1"/>
  <c r="D55" i="2" s="1"/>
  <c r="F114" i="2"/>
  <c r="F113" i="2" s="1"/>
  <c r="F16" i="2"/>
  <c r="D50" i="2"/>
  <c r="E110" i="2"/>
  <c r="F55" i="2"/>
  <c r="F37" i="2" s="1"/>
  <c r="D114" i="2"/>
  <c r="D113" i="2" s="1"/>
  <c r="F110" i="2"/>
  <c r="E14" i="2"/>
  <c r="E9" i="2"/>
  <c r="E70" i="2"/>
  <c r="E68" i="2" s="1"/>
  <c r="C68" i="2"/>
  <c r="D68" i="2" s="1"/>
  <c r="E98" i="2"/>
  <c r="D106" i="2"/>
  <c r="F8" i="2"/>
  <c r="F6" i="2" s="1"/>
  <c r="D73" i="2"/>
  <c r="E95" i="2"/>
  <c r="C93" i="2"/>
  <c r="D93" i="2" s="1"/>
  <c r="D40" i="2"/>
  <c r="E88" i="2"/>
  <c r="E106" i="2"/>
  <c r="E63" i="2"/>
  <c r="E55" i="2"/>
  <c r="D110" i="2"/>
  <c r="C114" i="2"/>
  <c r="C113" i="2" s="1"/>
  <c r="E73" i="2"/>
  <c r="F62" i="2"/>
  <c r="E50" i="2"/>
  <c r="E40" i="2"/>
  <c r="E28" i="2"/>
  <c r="D23" i="2"/>
  <c r="E16" i="2"/>
  <c r="E21" i="2"/>
  <c r="D9" i="2"/>
  <c r="C73" i="2"/>
  <c r="C50" i="2"/>
  <c r="C63" i="2"/>
  <c r="E94" i="2"/>
  <c r="C8" i="2"/>
  <c r="C40" i="2"/>
  <c r="D37" i="2" l="1"/>
  <c r="D62" i="2"/>
  <c r="D8" i="2"/>
  <c r="D6" i="2" s="1"/>
  <c r="E93" i="2"/>
  <c r="E114" i="2"/>
  <c r="E113" i="2" s="1"/>
  <c r="E62" i="2"/>
  <c r="C62" i="2"/>
  <c r="D36" i="2"/>
  <c r="D35" i="2" s="1"/>
  <c r="D122" i="2" s="1"/>
  <c r="F36" i="2"/>
  <c r="F35" i="2" s="1"/>
  <c r="E37" i="2"/>
  <c r="C37" i="2"/>
  <c r="C6" i="2"/>
  <c r="E11" i="2" s="1"/>
  <c r="E8" i="2"/>
  <c r="E6" i="2" s="1"/>
  <c r="E13" i="2"/>
  <c r="C36" i="2" l="1"/>
  <c r="C35" i="2" s="1"/>
  <c r="E36" i="2"/>
  <c r="E122" i="2" s="1"/>
  <c r="E123" i="2" s="1"/>
  <c r="E35" i="2"/>
  <c r="C122" i="2"/>
</calcChain>
</file>

<file path=xl/sharedStrings.xml><?xml version="1.0" encoding="utf-8"?>
<sst xmlns="http://schemas.openxmlformats.org/spreadsheetml/2006/main" count="227" uniqueCount="219">
  <si>
    <t>Общая  площадь  дома   ,  кв.м.</t>
  </si>
  <si>
    <t>№</t>
  </si>
  <si>
    <t>Наименование</t>
  </si>
  <si>
    <t>Цена за ед./мес.</t>
  </si>
  <si>
    <t>Взнос на  содержание  жилфонда , руб./кв.м.</t>
  </si>
  <si>
    <t>I</t>
  </si>
  <si>
    <t>ДОХОДЫ  ВСЕГО:</t>
  </si>
  <si>
    <t>1</t>
  </si>
  <si>
    <t xml:space="preserve">Доходы , полученные     по  статье  "Содержание   жилфонда   и  текущий  ремонт ":  29,76    руб./м2   х 26860,75  м2 = 799 375,92  руб.  в  месяц.            </t>
  </si>
  <si>
    <t xml:space="preserve">ДОХОДЫ   от  коммерческой деятельности  </t>
  </si>
  <si>
    <t>2</t>
  </si>
  <si>
    <t>Аренда  МОП</t>
  </si>
  <si>
    <t>ООО  УК  Лифтремонт  ( S = 25 м2 * 200 руб.)</t>
  </si>
  <si>
    <t>ИП Нюньков К.В. ( S= 34,33 м2* 700 руб)</t>
  </si>
  <si>
    <t>Белоусова Ю.А. ( S =19,22 м2 * 700 руб.)</t>
  </si>
  <si>
    <t>ИП Войцеховская  Н.В. ( S = 46,12 м2 * 700 руб.)</t>
  </si>
  <si>
    <t>ООО Трест  "Запсибгидрострой"</t>
  </si>
  <si>
    <t>Турханов Д.В.( S =1,0 м2 * 500 руб.)</t>
  </si>
  <si>
    <t>3</t>
  </si>
  <si>
    <t xml:space="preserve">Аренда  тех.  помещения   </t>
  </si>
  <si>
    <t>Шварцкопф  В.М.</t>
  </si>
  <si>
    <t>Татарникова  Т.В.</t>
  </si>
  <si>
    <t>Дворник</t>
  </si>
  <si>
    <t>Орлова Г.М. (консьерж)</t>
  </si>
  <si>
    <t>Руденко В.И.(консьерж)</t>
  </si>
  <si>
    <t>4</t>
  </si>
  <si>
    <t>Плата  за  размещение  рекламы  в МОП</t>
  </si>
  <si>
    <t>ПАО  " Совкомбанк"</t>
  </si>
  <si>
    <t>АО  КБ  "АГРОПРОМКРЕДИТ"</t>
  </si>
  <si>
    <t>ИП  Кожуркина   Елена  Дмитриевна</t>
  </si>
  <si>
    <t>ООО "Студия  рекламы Элемент"  в  лифтах</t>
  </si>
  <si>
    <t xml:space="preserve">Волков Афанасий  Дмитриевич </t>
  </si>
  <si>
    <t>ООО  "Аптека  59"</t>
  </si>
  <si>
    <t>5</t>
  </si>
  <si>
    <t>Плата  за  размещение  оборудования  связи</t>
  </si>
  <si>
    <t>ООО "Нэт Бай Нэт  Холдинг"</t>
  </si>
  <si>
    <t>ООО " Теле-Плюс"</t>
  </si>
  <si>
    <t>ООО "Метросеть-Сургут"</t>
  </si>
  <si>
    <t>6</t>
  </si>
  <si>
    <t>Платные  услуги   электрика  и  сантехника</t>
  </si>
  <si>
    <t>II</t>
  </si>
  <si>
    <t>РАСХОДЫ,   ВСЕГО</t>
  </si>
  <si>
    <t>II (1)</t>
  </si>
  <si>
    <t>РАСХОДЫ    по  статье                                " Содержание   жилфонда"</t>
  </si>
  <si>
    <t>Административно-управленческие  расходы, в том  числе:</t>
  </si>
  <si>
    <t>1.1</t>
  </si>
  <si>
    <t>Вознаграждение  Председателя  Правления  ТСЖ</t>
  </si>
  <si>
    <t>1.1.1</t>
  </si>
  <si>
    <t>Председатель ( дог.  С  ИП).</t>
  </si>
  <si>
    <t>1.2</t>
  </si>
  <si>
    <t>Заработная  плата  (вознаграждение)  персонала в т.ч. отпускные  и  НДФЛ</t>
  </si>
  <si>
    <t>1.2.1</t>
  </si>
  <si>
    <t>Главный  бухгалтер  (дог.  С  ИП),  0,5  ставка</t>
  </si>
  <si>
    <t>1.2.2</t>
  </si>
  <si>
    <t>Специалист по  работе  с  абонентами,  штат.</t>
  </si>
  <si>
    <t>1.2.3</t>
  </si>
  <si>
    <t>Содержание оргтехники (заправка катриджей, ремонт),  5  шт.  компьютеров,  принтер  -  3  шт.</t>
  </si>
  <si>
    <t>1.2.4</t>
  </si>
  <si>
    <t>Канцтовары (папки, файлы, бумага, ручки, скрепки  и пр.)</t>
  </si>
  <si>
    <t>1.2.5</t>
  </si>
  <si>
    <t>Налоги и начисления на зарплату</t>
  </si>
  <si>
    <t>1.2.6</t>
  </si>
  <si>
    <t>Отпускные   для штатных  сотрудников  ТСЖ</t>
  </si>
  <si>
    <t>1.2.7</t>
  </si>
  <si>
    <t>Оплата  проезда  в  льготный    отпуск                                           ( ТК РФ, статья 325)</t>
  </si>
  <si>
    <t>1.2.8</t>
  </si>
  <si>
    <t xml:space="preserve">Услуги  банка ( расчетно- кассовое  обслуживание   расчетного  счета  ТСЖ ,  спецсчета  по  приему  платежей от  физ.лиц в  рамках 103ФЗ  и  спецсчета  по  капремонту   в    в Западно-Сибирском банке ПАО Сбербанк г.Тюмень  ).                                              </t>
  </si>
  <si>
    <t>1.2.9</t>
  </si>
  <si>
    <t>Услуги   РКЦ</t>
  </si>
  <si>
    <t>1.3</t>
  </si>
  <si>
    <t>Юридическое обслуживание ТСЖ</t>
  </si>
  <si>
    <t>1.3.1</t>
  </si>
  <si>
    <t>Вознаграждение   юриста, (дог. с  ИП, 0,5 ставки)</t>
  </si>
  <si>
    <t>1.3.2</t>
  </si>
  <si>
    <t>Расходы на оплату пошлин по судебным делам</t>
  </si>
  <si>
    <t>1.3.3</t>
  </si>
  <si>
    <t>Расходы на почтовые отправления</t>
  </si>
  <si>
    <t>1.3.4</t>
  </si>
  <si>
    <t>Транспортные расходы (поездки в суды и надзорные органы)  в  г. Ханты-Мансийск</t>
  </si>
  <si>
    <t>1.4</t>
  </si>
  <si>
    <t>Информационное обслуживание программного обеспечения, связь,интернет  ТСЖ</t>
  </si>
  <si>
    <t>1.4.1</t>
  </si>
  <si>
    <t>Расходы на обслуживание сайта</t>
  </si>
  <si>
    <t>1.4.2</t>
  </si>
  <si>
    <t>Расходы на оплату Интернета</t>
  </si>
  <si>
    <t>1.4.3</t>
  </si>
  <si>
    <t>Расходы на стационарную телефонную связь, 6  шт.  В  т.ч.  офис ТСЖ (  1  тел.  + 1тел./факс.),  4 тел. в  подъездах  у  консъержей)</t>
  </si>
  <si>
    <t>1.4.4</t>
  </si>
  <si>
    <t xml:space="preserve">Периодическая  подписка "Карта Участника "Клуба Профессиональных упр.МКД ", расходы по   обработке и   внесению  информации  в  ГИС  ЖКХ </t>
  </si>
  <si>
    <t>1.4.5</t>
  </si>
  <si>
    <t xml:space="preserve">Техническая  поддержка  специализированной бухгалтерской программы   1 С  ПРОФ,  СБИС,  ЭЦП </t>
  </si>
  <si>
    <t>1.4.7</t>
  </si>
  <si>
    <t>Затраты  на  проведение    собраний  собственников  МКД  и  членов  ТСЖ</t>
  </si>
  <si>
    <t>Содержание  и  обслуживание общего имущества,  всего :</t>
  </si>
  <si>
    <t>2.1</t>
  </si>
  <si>
    <t xml:space="preserve">Обеспечение пожарной безопасности </t>
  </si>
  <si>
    <t>2.1.1</t>
  </si>
  <si>
    <t>Обслуживание системы пожаротушения,  системы дымоудаления   лицензированной организацией,  договор  с    ООО  "Связь-сервис"</t>
  </si>
  <si>
    <t>Доукомплектация пожарными рукавами, ремонт и испытание системы пожаротушения.</t>
  </si>
  <si>
    <t>2.2</t>
  </si>
  <si>
    <t>Обслуживание видеонаблюдения</t>
  </si>
  <si>
    <t>2.2.1</t>
  </si>
  <si>
    <t>Обслуживание системы видеонаблюдения,системы  контроля и  управления  доступом  специализированной организацией ,  договор  с    ООО  "Связь-сервис".</t>
  </si>
  <si>
    <t>2.3</t>
  </si>
  <si>
    <t>Техническое обслуживание электротехнического оборудования</t>
  </si>
  <si>
    <t>2.3.1</t>
  </si>
  <si>
    <t>Зарплата электрика,  в   штате</t>
  </si>
  <si>
    <t>2.3.2</t>
  </si>
  <si>
    <t>Налоги и отчисления</t>
  </si>
  <si>
    <t>2.3.3</t>
  </si>
  <si>
    <t>Отпускные  штатному  сотруднику</t>
  </si>
  <si>
    <t>2.3.4</t>
  </si>
  <si>
    <t xml:space="preserve">Приобретение  материалов  и  инструментов  для  обслуживания    МКД    по  электроснабжению                                    </t>
  </si>
  <si>
    <t>2.4</t>
  </si>
  <si>
    <t>Техническое обслуживание сантехнического оборудования</t>
  </si>
  <si>
    <t>2.4.1</t>
  </si>
  <si>
    <t>Зарплата главного инженера (ИП, 05  ставки)</t>
  </si>
  <si>
    <t>2.4.2</t>
  </si>
  <si>
    <t>Зарплата слесаря -  сантехника  (  штат)</t>
  </si>
  <si>
    <t>2.4.3</t>
  </si>
  <si>
    <t>Отпускные   штатного  сотрудника</t>
  </si>
  <si>
    <t>2.4.4</t>
  </si>
  <si>
    <t>2.4.5</t>
  </si>
  <si>
    <t>Диспетчер (ПП РФ от 27.03.2018 № 331), ИП</t>
  </si>
  <si>
    <t>2.4.6</t>
  </si>
  <si>
    <t>Налоги и отчисления на зарплату</t>
  </si>
  <si>
    <t>2.4.7</t>
  </si>
  <si>
    <t xml:space="preserve">Приобретение материалов  для  сантехнических  работ    </t>
  </si>
  <si>
    <t>2.4.8</t>
  </si>
  <si>
    <t>Гидропромывка и опрессовка системы отопления, 1  раз.(дог.  С  ИП "Старцев А.П.)</t>
  </si>
  <si>
    <t>2.4.9</t>
  </si>
  <si>
    <t>Промывка  системы   ХВС,  1  раз</t>
  </si>
  <si>
    <t>2.4.10</t>
  </si>
  <si>
    <t>Промывка  системы   ГВС,  1  раз</t>
  </si>
  <si>
    <t>2.4.11</t>
  </si>
  <si>
    <t>Промывка  системы  канализации,4  раз</t>
  </si>
  <si>
    <t>2.4.12</t>
  </si>
  <si>
    <t>Обслуживание ИТП (в т.ч. масло для гильз  и  т.д.,),договор  с  ИП  "Старцев А.П."</t>
  </si>
  <si>
    <t>2.4.13</t>
  </si>
  <si>
    <t>Техническое  обслуживание   системы  диспетчеризации  по  отоплению   АРМ  "Ресурс"</t>
  </si>
  <si>
    <t>2.4.14</t>
  </si>
  <si>
    <t xml:space="preserve">Замена кранов шаровых в ИТП 
Клапан ГВС ;ДУ-100 ;ДУ-80 ;ДУ-50 ;  ДУ- 15
Манометры 0-16 кг/см2 
</t>
  </si>
  <si>
    <t>2.5</t>
  </si>
  <si>
    <t>Уборка мест общего пользования (МОП)</t>
  </si>
  <si>
    <t>2.5.1</t>
  </si>
  <si>
    <t>Зарплата уборщицы,  2  чел. (дог. ГПХ)</t>
  </si>
  <si>
    <t>2.5.2</t>
  </si>
  <si>
    <t>Зарплата  разнорабочего (дог. ГПХ)</t>
  </si>
  <si>
    <t>2.5.3</t>
  </si>
  <si>
    <t>2.5.4</t>
  </si>
  <si>
    <t>Приобретение  материалов  и  инвентаря   для  уборки  МОП</t>
  </si>
  <si>
    <t>2.6</t>
  </si>
  <si>
    <t>Уборка придомовой территории</t>
  </si>
  <si>
    <t>2.6.1</t>
  </si>
  <si>
    <t>Зарплата дворника-мусорокамерщика,  2  чел .                      (дог.  ГПХ)</t>
  </si>
  <si>
    <t>2.6.2</t>
  </si>
  <si>
    <t>2.6.3</t>
  </si>
  <si>
    <t xml:space="preserve">Хозяйственные  расходы  для  уборки придомовой  территории.                                                        </t>
  </si>
  <si>
    <t>2.6.4</t>
  </si>
  <si>
    <t>Услуги по  сталкиванию  и  вывозу снега</t>
  </si>
  <si>
    <t>2.7</t>
  </si>
  <si>
    <t>Содержание и обслуживание лифтов</t>
  </si>
  <si>
    <t>2.7.1</t>
  </si>
  <si>
    <t>Техническое обслуживание лифтов  специализированной организацией   (дог. ООО  УК  "Лифтремонт" ).</t>
  </si>
  <si>
    <t>2.7.2</t>
  </si>
  <si>
    <t>Ежегодное техническое освидетельствование лифтов по требованиям Ростехнадзора</t>
  </si>
  <si>
    <t>2.7.3</t>
  </si>
  <si>
    <t>Страхование лифтов  с СПАО   "Ресо-Гарантия"</t>
  </si>
  <si>
    <t>2.8</t>
  </si>
  <si>
    <t xml:space="preserve">Дератизация и дезинсекция МОП </t>
  </si>
  <si>
    <t>2.8.1</t>
  </si>
  <si>
    <t>Обработка мест общего пользования от грызунов</t>
  </si>
  <si>
    <t>2.9</t>
  </si>
  <si>
    <t>Программа производственного и лабораторного контроля  (ежеквартально)</t>
  </si>
  <si>
    <t>2.9.1</t>
  </si>
  <si>
    <t xml:space="preserve">Исполнение программы (ежеквартальный отбор и анализ проб воды и пр.) </t>
  </si>
  <si>
    <t>2.10</t>
  </si>
  <si>
    <t>Благоустройство, озеленение  придомовой территории.</t>
  </si>
  <si>
    <t>2.10.1</t>
  </si>
  <si>
    <t>Приобретении цветочной рассады</t>
  </si>
  <si>
    <t>2.10.2</t>
  </si>
  <si>
    <t>Приобретение газонной травы</t>
  </si>
  <si>
    <t>2.10.3</t>
  </si>
  <si>
    <t>Приобретение торфо-минерального грунта</t>
  </si>
  <si>
    <t>Формирования  резервного  фонда,  всего</t>
  </si>
  <si>
    <t>3.1.1</t>
  </si>
  <si>
    <t>Резерв  непредвиденных   расходов ,2%  от  суммы  за  содержание и  текущий  ремонт  жилфонда.</t>
  </si>
  <si>
    <t>3.1.2</t>
  </si>
  <si>
    <t>Резерв  непредвиденных   расходов  на  ликвидацию  аварийных    ситуаций   по  обслуживанию  МКД.</t>
  </si>
  <si>
    <t>II (2)</t>
  </si>
  <si>
    <t xml:space="preserve">РАСХОДЫ    по      коммерческой  смете ,  итого     *              </t>
  </si>
  <si>
    <t>Текущий ремонт общего имущества (фасад, стены, двери т.п.)  из  доходов  от  коммерческой  деятельности</t>
  </si>
  <si>
    <t>3.1</t>
  </si>
  <si>
    <t>Устройство водоотводящих систем с парапетов и козырьков</t>
  </si>
  <si>
    <t>3.3</t>
  </si>
  <si>
    <t xml:space="preserve">Текущий ремонт МОП (подъезды офисов), стены, полы, потолки, л/к 3 п. 15-17 эт.
</t>
  </si>
  <si>
    <t>3.4</t>
  </si>
  <si>
    <t>Текущий ремонт МОП подъезды 2 ,3   (стены, полы, потолки). 4 подъезд :стены, полы, потолки</t>
  </si>
  <si>
    <t>3.6</t>
  </si>
  <si>
    <t>Замена деревянных дверей на пластиковые в переходах на незадымляемую лестницу 4 подъезд.</t>
  </si>
  <si>
    <t>3.8</t>
  </si>
  <si>
    <t>Замена входных дверей  металлических</t>
  </si>
  <si>
    <t>3.9</t>
  </si>
  <si>
    <t>Замена входных дверей  пластиковых</t>
  </si>
  <si>
    <t>Ремонт мусорокамер 2,3,4 подъезды</t>
  </si>
  <si>
    <t>ИТОГО   ПО  СМЕТЕ</t>
  </si>
  <si>
    <t>Плата  за содержание  и  ремонт жилого  помещения  в  МКД  на  2019  год</t>
  </si>
  <si>
    <t>**</t>
  </si>
  <si>
    <t>Допускается ТСЖ  превышение  фактических  расходов  одних  статей    расходов  за  счет  экономии  по  другим  статьям расходов</t>
  </si>
  <si>
    <t>Сантехник-слесарь</t>
  </si>
  <si>
    <t>3,11</t>
  </si>
  <si>
    <t>Налог на прибыль 6% от 16670963</t>
  </si>
  <si>
    <t>Приложение № 5</t>
  </si>
  <si>
    <t xml:space="preserve">                                  Отчет  о  финансово-хозяйственной  деятельности  ТСЖ  "Светлое"</t>
  </si>
  <si>
    <t>(Исполнение сметы  за  2019 г.)</t>
  </si>
  <si>
    <t>План (год)</t>
  </si>
  <si>
    <t>Факт исполнения</t>
  </si>
  <si>
    <t>Тариф  на содержание   и обслуживаниеремонт  общего  имущества  (  расчетный )</t>
  </si>
  <si>
    <t>Председатель  ТСЖ "Светлое"                                       В.М.Шварцкопф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</si>
</sst>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3" fontId="7" fillId="4" borderId="1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3" fontId="7" fillId="6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vertical="center" wrapText="1"/>
    </xf>
    <xf numFmtId="3" fontId="4" fillId="7" borderId="4" xfId="0" applyNumberFormat="1" applyFont="1" applyFill="1" applyBorder="1" applyAlignment="1">
      <alignment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vertical="center" wrapText="1"/>
    </xf>
    <xf numFmtId="3" fontId="4" fillId="6" borderId="6" xfId="0" applyNumberFormat="1" applyFont="1" applyFill="1" applyBorder="1" applyAlignment="1">
      <alignment vertical="center" wrapText="1"/>
    </xf>
    <xf numFmtId="3" fontId="9" fillId="7" borderId="3" xfId="0" applyNumberFormat="1" applyFont="1" applyFill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vertical="center" wrapText="1"/>
    </xf>
    <xf numFmtId="3" fontId="4" fillId="6" borderId="4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4" fillId="7" borderId="0" xfId="0" applyNumberFormat="1" applyFont="1" applyFill="1" applyBorder="1" applyAlignment="1">
      <alignment vertical="center" wrapText="1"/>
    </xf>
    <xf numFmtId="3" fontId="2" fillId="6" borderId="9" xfId="0" applyNumberFormat="1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7" borderId="4" xfId="0" applyFont="1" applyFill="1" applyBorder="1" applyAlignment="1">
      <alignment horizontal="left" vertical="center" wrapText="1"/>
    </xf>
    <xf numFmtId="3" fontId="4" fillId="9" borderId="3" xfId="0" applyNumberFormat="1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3" fontId="14" fillId="0" borderId="7" xfId="0" applyNumberFormat="1" applyFont="1" applyBorder="1" applyAlignment="1">
      <alignment vertical="center" wrapText="1"/>
    </xf>
    <xf numFmtId="3" fontId="14" fillId="7" borderId="4" xfId="0" applyNumberFormat="1" applyFont="1" applyFill="1" applyBorder="1" applyAlignment="1">
      <alignment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3" fontId="11" fillId="4" borderId="9" xfId="0" applyNumberFormat="1" applyFont="1" applyFill="1" applyBorder="1" applyAlignment="1">
      <alignment vertical="center" wrapText="1"/>
    </xf>
    <xf numFmtId="3" fontId="11" fillId="4" borderId="1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5" xfId="0" applyNumberFormat="1" applyFont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3" fontId="11" fillId="4" borderId="7" xfId="0" applyNumberFormat="1" applyFont="1" applyFill="1" applyBorder="1" applyAlignment="1">
      <alignment vertical="center" wrapText="1"/>
    </xf>
    <xf numFmtId="3" fontId="12" fillId="4" borderId="4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3" fontId="17" fillId="6" borderId="5" xfId="0" applyNumberFormat="1" applyFont="1" applyFill="1" applyBorder="1" applyAlignment="1">
      <alignment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12" xfId="0" applyNumberFormat="1" applyFont="1" applyBorder="1" applyAlignment="1">
      <alignment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 wrapText="1"/>
    </xf>
    <xf numFmtId="3" fontId="24" fillId="0" borderId="0" xfId="0" applyNumberFormat="1" applyFont="1" applyAlignment="1">
      <alignment horizontal="right"/>
    </xf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" fontId="1" fillId="2" borderId="13" xfId="0" applyNumberFormat="1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wrapText="1"/>
    </xf>
    <xf numFmtId="4" fontId="1" fillId="0" borderId="20" xfId="0" applyNumberFormat="1" applyFont="1" applyFill="1" applyBorder="1" applyAlignment="1">
      <alignment vertical="center"/>
    </xf>
    <xf numFmtId="4" fontId="1" fillId="6" borderId="20" xfId="0" applyNumberFormat="1" applyFont="1" applyFill="1" applyBorder="1"/>
    <xf numFmtId="4" fontId="0" fillId="0" borderId="15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3" fontId="4" fillId="6" borderId="2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2" fontId="7" fillId="7" borderId="18" xfId="0" applyNumberFormat="1" applyFont="1" applyFill="1" applyBorder="1" applyAlignment="1">
      <alignment horizontal="right" vertical="center" wrapText="1"/>
    </xf>
    <xf numFmtId="2" fontId="7" fillId="7" borderId="16" xfId="0" applyNumberFormat="1" applyFont="1" applyFill="1" applyBorder="1" applyAlignment="1">
      <alignment horizontal="right" vertical="center" wrapText="1"/>
    </xf>
    <xf numFmtId="2" fontId="7" fillId="7" borderId="17" xfId="0" applyNumberFormat="1" applyFont="1" applyFill="1" applyBorder="1" applyAlignment="1">
      <alignment horizontal="right" vertical="center" wrapText="1"/>
    </xf>
    <xf numFmtId="2" fontId="4" fillId="0" borderId="16" xfId="0" applyNumberFormat="1" applyFont="1" applyBorder="1" applyAlignment="1">
      <alignment horizontal="right" vertical="center" wrapText="1"/>
    </xf>
    <xf numFmtId="4" fontId="11" fillId="4" borderId="16" xfId="0" applyNumberFormat="1" applyFont="1" applyFill="1" applyBorder="1" applyAlignment="1">
      <alignment vertical="center" wrapText="1"/>
    </xf>
    <xf numFmtId="2" fontId="4" fillId="9" borderId="16" xfId="0" applyNumberFormat="1" applyFont="1" applyFill="1" applyBorder="1" applyAlignment="1">
      <alignment horizontal="right" vertical="center" wrapText="1"/>
    </xf>
    <xf numFmtId="4" fontId="10" fillId="0" borderId="22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ont="1" applyFill="1" applyBorder="1"/>
    <xf numFmtId="4" fontId="0" fillId="0" borderId="23" xfId="0" applyNumberFormat="1" applyBorder="1"/>
    <xf numFmtId="3" fontId="11" fillId="4" borderId="8" xfId="0" applyNumberFormat="1" applyFont="1" applyFill="1" applyBorder="1" applyAlignment="1">
      <alignment vertical="center" wrapText="1"/>
    </xf>
    <xf numFmtId="3" fontId="12" fillId="4" borderId="12" xfId="0" applyNumberFormat="1" applyFont="1" applyFill="1" applyBorder="1" applyAlignment="1">
      <alignment vertical="center" wrapText="1"/>
    </xf>
    <xf numFmtId="3" fontId="11" fillId="6" borderId="1" xfId="0" applyNumberFormat="1" applyFont="1" applyFill="1" applyBorder="1" applyAlignment="1">
      <alignment vertical="center" wrapText="1"/>
    </xf>
    <xf numFmtId="3" fontId="12" fillId="6" borderId="5" xfId="0" applyNumberFormat="1" applyFont="1" applyFill="1" applyBorder="1" applyAlignment="1">
      <alignment vertical="center" wrapText="1"/>
    </xf>
    <xf numFmtId="4" fontId="11" fillId="6" borderId="1" xfId="0" applyNumberFormat="1" applyFont="1" applyFill="1" applyBorder="1" applyAlignment="1">
      <alignment horizontal="right" vertical="center" wrapText="1"/>
    </xf>
    <xf numFmtId="3" fontId="12" fillId="6" borderId="20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3" fontId="2" fillId="6" borderId="20" xfId="0" applyNumberFormat="1" applyFont="1" applyFill="1" applyBorder="1" applyAlignment="1">
      <alignment vertical="center" wrapText="1"/>
    </xf>
    <xf numFmtId="2" fontId="4" fillId="0" borderId="17" xfId="0" applyNumberFormat="1" applyFont="1" applyBorder="1" applyAlignment="1">
      <alignment horizontal="right" vertical="center" wrapText="1"/>
    </xf>
    <xf numFmtId="2" fontId="4" fillId="0" borderId="18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vertical="center" wrapText="1"/>
    </xf>
    <xf numFmtId="3" fontId="4" fillId="6" borderId="2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3" fontId="4" fillId="6" borderId="20" xfId="0" applyNumberFormat="1" applyFont="1" applyFill="1" applyBorder="1" applyAlignment="1">
      <alignment vertical="center" wrapText="1"/>
    </xf>
    <xf numFmtId="4" fontId="0" fillId="6" borderId="20" xfId="0" applyNumberFormat="1" applyFill="1" applyBorder="1"/>
    <xf numFmtId="4" fontId="0" fillId="0" borderId="20" xfId="0" applyNumberFormat="1" applyBorder="1"/>
    <xf numFmtId="2" fontId="4" fillId="9" borderId="18" xfId="0" applyNumberFormat="1" applyFont="1" applyFill="1" applyBorder="1" applyAlignment="1">
      <alignment horizontal="right" vertical="center" wrapText="1"/>
    </xf>
    <xf numFmtId="3" fontId="14" fillId="6" borderId="2" xfId="0" applyNumberFormat="1" applyFont="1" applyFill="1" applyBorder="1" applyAlignment="1">
      <alignment vertical="center" wrapText="1"/>
    </xf>
    <xf numFmtId="4" fontId="13" fillId="6" borderId="1" xfId="0" applyNumberFormat="1" applyFont="1" applyFill="1" applyBorder="1" applyAlignment="1">
      <alignment horizontal="right" vertical="center" wrapText="1"/>
    </xf>
    <xf numFmtId="3" fontId="14" fillId="6" borderId="20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4" fontId="18" fillId="7" borderId="8" xfId="0" applyNumberFormat="1" applyFont="1" applyFill="1" applyBorder="1" applyAlignment="1">
      <alignment horizontal="right" vertical="center" wrapText="1"/>
    </xf>
    <xf numFmtId="3" fontId="6" fillId="5" borderId="20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3" fontId="7" fillId="5" borderId="8" xfId="0" applyNumberFormat="1" applyFont="1" applyFill="1" applyBorder="1" applyAlignment="1">
      <alignment horizontal="center" vertical="center" wrapText="1"/>
    </xf>
    <xf numFmtId="3" fontId="4" fillId="5" borderId="1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 wrapText="1"/>
    </xf>
    <xf numFmtId="3" fontId="7" fillId="7" borderId="8" xfId="0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4" fontId="11" fillId="4" borderId="5" xfId="0" applyNumberFormat="1" applyFont="1" applyFill="1" applyBorder="1" applyAlignment="1">
      <alignment vertical="center" wrapText="1"/>
    </xf>
    <xf numFmtId="0" fontId="2" fillId="6" borderId="20" xfId="0" applyFont="1" applyFill="1" applyBorder="1" applyAlignment="1">
      <alignment vertical="center" wrapText="1"/>
    </xf>
    <xf numFmtId="3" fontId="13" fillId="6" borderId="1" xfId="0" applyNumberFormat="1" applyFont="1" applyFill="1" applyBorder="1" applyAlignment="1">
      <alignment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3" fontId="0" fillId="0" borderId="9" xfId="0" applyNumberFormat="1" applyBorder="1" applyAlignment="1">
      <alignment vertical="center" wrapText="1"/>
    </xf>
    <xf numFmtId="3" fontId="0" fillId="0" borderId="11" xfId="0" applyNumberFormat="1" applyFont="1" applyBorder="1" applyAlignment="1">
      <alignment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3" fontId="16" fillId="6" borderId="2" xfId="0" applyNumberFormat="1" applyFont="1" applyFill="1" applyBorder="1" applyAlignment="1">
      <alignment vertical="center" wrapText="1"/>
    </xf>
    <xf numFmtId="0" fontId="1" fillId="0" borderId="0" xfId="0" applyFont="1"/>
    <xf numFmtId="3" fontId="3" fillId="0" borderId="15" xfId="0" applyNumberFormat="1" applyFont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vertical="center"/>
    </xf>
    <xf numFmtId="4" fontId="1" fillId="6" borderId="21" xfId="0" applyNumberFormat="1" applyFont="1" applyFill="1" applyBorder="1"/>
    <xf numFmtId="3" fontId="12" fillId="4" borderId="15" xfId="0" applyNumberFormat="1" applyFont="1" applyFill="1" applyBorder="1" applyAlignment="1">
      <alignment vertical="center" wrapText="1"/>
    </xf>
    <xf numFmtId="3" fontId="2" fillId="6" borderId="21" xfId="0" applyNumberFormat="1" applyFont="1" applyFill="1" applyBorder="1" applyAlignment="1">
      <alignment vertical="center" wrapText="1"/>
    </xf>
    <xf numFmtId="4" fontId="11" fillId="4" borderId="20" xfId="0" applyNumberFormat="1" applyFont="1" applyFill="1" applyBorder="1" applyAlignment="1">
      <alignment vertical="center" wrapText="1"/>
    </xf>
    <xf numFmtId="3" fontId="4" fillId="6" borderId="22" xfId="0" applyNumberFormat="1" applyFont="1" applyFill="1" applyBorder="1" applyAlignment="1">
      <alignment vertical="center" wrapText="1"/>
    </xf>
    <xf numFmtId="4" fontId="0" fillId="6" borderId="21" xfId="0" applyNumberFormat="1" applyFill="1" applyBorder="1"/>
    <xf numFmtId="3" fontId="11" fillId="4" borderId="21" xfId="0" applyNumberFormat="1" applyFont="1" applyFill="1" applyBorder="1" applyAlignment="1">
      <alignment vertical="center" wrapText="1"/>
    </xf>
    <xf numFmtId="3" fontId="12" fillId="4" borderId="22" xfId="0" applyNumberFormat="1" applyFont="1" applyFill="1" applyBorder="1" applyAlignment="1">
      <alignment vertical="center" wrapText="1"/>
    </xf>
    <xf numFmtId="0" fontId="0" fillId="0" borderId="20" xfId="0" applyBorder="1"/>
    <xf numFmtId="0" fontId="2" fillId="3" borderId="3" xfId="0" applyFont="1" applyFill="1" applyBorder="1" applyAlignment="1">
      <alignment horizontal="right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4" fontId="7" fillId="5" borderId="8" xfId="0" applyNumberFormat="1" applyFont="1" applyFill="1" applyBorder="1" applyAlignment="1">
      <alignment horizontal="right" vertical="center" wrapText="1"/>
    </xf>
    <xf numFmtId="2" fontId="7" fillId="6" borderId="16" xfId="0" applyNumberFormat="1" applyFont="1" applyFill="1" applyBorder="1" applyAlignment="1">
      <alignment horizontal="right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right" vertical="center" wrapText="1"/>
    </xf>
    <xf numFmtId="2" fontId="2" fillId="7" borderId="18" xfId="0" applyNumberFormat="1" applyFont="1" applyFill="1" applyBorder="1" applyAlignment="1">
      <alignment horizontal="right" vertical="center" wrapText="1"/>
    </xf>
    <xf numFmtId="4" fontId="2" fillId="6" borderId="16" xfId="0" applyNumberFormat="1" applyFont="1" applyFill="1" applyBorder="1" applyAlignment="1">
      <alignment horizontal="right" vertical="center" wrapText="1"/>
    </xf>
    <xf numFmtId="2" fontId="2" fillId="7" borderId="16" xfId="0" applyNumberFormat="1" applyFont="1" applyFill="1" applyBorder="1" applyAlignment="1">
      <alignment horizontal="right" vertical="center" wrapText="1"/>
    </xf>
    <xf numFmtId="2" fontId="2" fillId="7" borderId="17" xfId="0" applyNumberFormat="1" applyFont="1" applyFill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4" fontId="2" fillId="6" borderId="18" xfId="0" applyNumberFormat="1" applyFont="1" applyFill="1" applyBorder="1" applyAlignment="1">
      <alignment vertical="center" wrapText="1"/>
    </xf>
    <xf numFmtId="2" fontId="4" fillId="7" borderId="16" xfId="0" applyNumberFormat="1" applyFont="1" applyFill="1" applyBorder="1" applyAlignment="1">
      <alignment horizontal="right" vertical="center" wrapText="1"/>
    </xf>
    <xf numFmtId="2" fontId="14" fillId="0" borderId="18" xfId="0" applyNumberFormat="1" applyFont="1" applyBorder="1" applyAlignment="1">
      <alignment horizontal="right" vertical="center" wrapText="1"/>
    </xf>
    <xf numFmtId="2" fontId="14" fillId="0" borderId="16" xfId="0" applyNumberFormat="1" applyFont="1" applyBorder="1" applyAlignment="1">
      <alignment horizontal="right" vertical="center" wrapText="1"/>
    </xf>
    <xf numFmtId="2" fontId="0" fillId="0" borderId="16" xfId="0" applyNumberFormat="1" applyBorder="1" applyAlignment="1">
      <alignment horizontal="right" vertical="center" wrapText="1"/>
    </xf>
    <xf numFmtId="2" fontId="0" fillId="0" borderId="17" xfId="0" applyNumberFormat="1" applyBorder="1" applyAlignment="1">
      <alignment horizontal="right" vertical="center" wrapText="1"/>
    </xf>
    <xf numFmtId="4" fontId="11" fillId="4" borderId="18" xfId="0" applyNumberFormat="1" applyFont="1" applyFill="1" applyBorder="1" applyAlignment="1">
      <alignment horizontal="right" vertical="center" wrapText="1"/>
    </xf>
    <xf numFmtId="4" fontId="16" fillId="6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30" zoomScale="75" zoomScaleNormal="75" workbookViewId="0">
      <selection activeCell="B129" sqref="B129:F129"/>
    </sheetView>
  </sheetViews>
  <sheetFormatPr defaultRowHeight="14.4" x14ac:dyDescent="0.3"/>
  <cols>
    <col min="1" max="1" width="7.33203125" customWidth="1"/>
    <col min="2" max="2" width="39.6640625" customWidth="1"/>
    <col min="3" max="3" width="15.109375" customWidth="1"/>
    <col min="4" max="4" width="14.88671875" customWidth="1"/>
    <col min="5" max="5" width="14.109375" customWidth="1"/>
    <col min="6" max="6" width="15.33203125" customWidth="1"/>
    <col min="8" max="8" width="11.33203125" bestFit="1" customWidth="1"/>
  </cols>
  <sheetData>
    <row r="1" spans="1:10" x14ac:dyDescent="0.3">
      <c r="E1" s="221" t="s">
        <v>212</v>
      </c>
      <c r="F1" s="221"/>
    </row>
    <row r="2" spans="1:10" ht="15.6" customHeight="1" x14ac:dyDescent="0.3">
      <c r="A2" s="220" t="s">
        <v>213</v>
      </c>
      <c r="B2" s="220"/>
      <c r="C2" s="220"/>
      <c r="D2" s="220"/>
      <c r="E2" s="220"/>
      <c r="F2" s="220"/>
    </row>
    <row r="3" spans="1:10" ht="30" customHeight="1" thickBot="1" x14ac:dyDescent="0.4">
      <c r="A3" s="220" t="s">
        <v>214</v>
      </c>
      <c r="B3" s="220"/>
      <c r="C3" s="220"/>
      <c r="D3" s="220"/>
      <c r="E3" s="220"/>
      <c r="F3" s="220"/>
      <c r="G3" s="1"/>
      <c r="H3" s="1"/>
      <c r="I3" s="1"/>
      <c r="J3" s="1"/>
    </row>
    <row r="4" spans="1:10" ht="16.2" thickBot="1" x14ac:dyDescent="0.35">
      <c r="A4" s="95"/>
      <c r="B4" s="96" t="s">
        <v>0</v>
      </c>
      <c r="C4" s="97">
        <v>26860.75</v>
      </c>
      <c r="D4" s="104"/>
      <c r="E4" s="112"/>
      <c r="F4" s="105"/>
      <c r="G4" s="2"/>
      <c r="H4" s="2"/>
      <c r="I4" s="2"/>
      <c r="J4" s="2"/>
    </row>
    <row r="5" spans="1:10" s="89" customFormat="1" ht="63" thickBot="1" x14ac:dyDescent="0.35">
      <c r="A5" s="91" t="s">
        <v>1</v>
      </c>
      <c r="B5" s="92" t="s">
        <v>2</v>
      </c>
      <c r="C5" s="93" t="s">
        <v>3</v>
      </c>
      <c r="D5" s="94" t="s">
        <v>215</v>
      </c>
      <c r="E5" s="198" t="s">
        <v>4</v>
      </c>
      <c r="F5" s="98" t="s">
        <v>216</v>
      </c>
      <c r="G5" s="99"/>
      <c r="H5" s="99"/>
      <c r="I5" s="99"/>
      <c r="J5" s="99"/>
    </row>
    <row r="6" spans="1:10" ht="18.600000000000001" thickBot="1" x14ac:dyDescent="0.35">
      <c r="A6" s="150" t="s">
        <v>5</v>
      </c>
      <c r="B6" s="151" t="s">
        <v>6</v>
      </c>
      <c r="C6" s="152">
        <f>C7+C8</f>
        <v>938414.92</v>
      </c>
      <c r="D6" s="153">
        <f>D7+D8</f>
        <v>11260979.040000001</v>
      </c>
      <c r="E6" s="199">
        <f>E8+E7</f>
        <v>34.936288822910754</v>
      </c>
      <c r="F6" s="187">
        <f>F7+F8</f>
        <v>11122126.210000001</v>
      </c>
      <c r="G6" s="2"/>
      <c r="H6" s="2"/>
      <c r="I6" s="2"/>
      <c r="J6" s="2"/>
    </row>
    <row r="7" spans="1:10" ht="78.599999999999994" thickBot="1" x14ac:dyDescent="0.35">
      <c r="A7" s="154" t="s">
        <v>7</v>
      </c>
      <c r="B7" s="155" t="s">
        <v>8</v>
      </c>
      <c r="C7" s="3">
        <v>799375.92</v>
      </c>
      <c r="D7" s="4">
        <f>C7*12</f>
        <v>9592511.040000001</v>
      </c>
      <c r="E7" s="113">
        <f>C7/C4</f>
        <v>29.76</v>
      </c>
      <c r="F7" s="106">
        <v>9600879</v>
      </c>
      <c r="G7" s="2"/>
      <c r="H7" s="2"/>
      <c r="I7" s="2"/>
      <c r="J7" s="2"/>
    </row>
    <row r="8" spans="1:10" ht="33" thickBot="1" x14ac:dyDescent="0.35">
      <c r="A8" s="156"/>
      <c r="B8" s="157" t="s">
        <v>9</v>
      </c>
      <c r="C8" s="158">
        <f>C9+C16+C23+C30+C34</f>
        <v>139039</v>
      </c>
      <c r="D8" s="159">
        <f>D9+D16+D23+D30+D34</f>
        <v>1668468</v>
      </c>
      <c r="E8" s="200">
        <f>C8/C4</f>
        <v>5.1762888229107524</v>
      </c>
      <c r="F8" s="188">
        <f>F9+F16+F23+F30+F34</f>
        <v>1521247.21</v>
      </c>
      <c r="G8" s="2"/>
      <c r="H8" s="2"/>
      <c r="I8" s="2"/>
      <c r="J8" s="2"/>
    </row>
    <row r="9" spans="1:10" ht="16.8" thickBot="1" x14ac:dyDescent="0.35">
      <c r="A9" s="161" t="s">
        <v>10</v>
      </c>
      <c r="B9" s="6" t="s">
        <v>11</v>
      </c>
      <c r="C9" s="101">
        <f>SUM(C10:C15)</f>
        <v>78269</v>
      </c>
      <c r="D9" s="103">
        <f>SUM(D10:D15)</f>
        <v>939228</v>
      </c>
      <c r="E9" s="114">
        <f>C9/C4</f>
        <v>2.9138799177238162</v>
      </c>
      <c r="F9" s="107">
        <f>F10+F11+F12+F13+F14+F15</f>
        <v>982794.82000000007</v>
      </c>
      <c r="G9" s="2"/>
      <c r="H9" s="2"/>
      <c r="I9" s="2"/>
      <c r="J9" s="2"/>
    </row>
    <row r="10" spans="1:10" ht="31.8" hidden="1" thickBot="1" x14ac:dyDescent="0.35">
      <c r="A10" s="8"/>
      <c r="B10" s="160" t="s">
        <v>12</v>
      </c>
      <c r="C10" s="10">
        <v>5000</v>
      </c>
      <c r="D10" s="11">
        <f t="shared" ref="D10:D29" si="0">C10*12</f>
        <v>60000</v>
      </c>
      <c r="E10" s="115">
        <f>C10/C4</f>
        <v>0.18614521187978741</v>
      </c>
      <c r="F10" s="121">
        <v>60000</v>
      </c>
      <c r="G10" s="2"/>
      <c r="H10" s="2"/>
      <c r="I10" s="2"/>
      <c r="J10" s="2"/>
    </row>
    <row r="11" spans="1:10" ht="31.8" hidden="1" thickBot="1" x14ac:dyDescent="0.35">
      <c r="A11" s="8"/>
      <c r="B11" s="12" t="s">
        <v>13</v>
      </c>
      <c r="C11" s="10">
        <v>24031</v>
      </c>
      <c r="D11" s="11">
        <f t="shared" si="0"/>
        <v>288372</v>
      </c>
      <c r="E11" s="116">
        <f t="shared" ref="E11:E33" si="1">C11/C6</f>
        <v>2.5608075370327658E-2</v>
      </c>
      <c r="F11" s="122">
        <v>393127</v>
      </c>
      <c r="G11" s="2"/>
      <c r="H11" s="2"/>
      <c r="I11" s="2"/>
      <c r="J11" s="2"/>
    </row>
    <row r="12" spans="1:10" ht="31.8" hidden="1" thickBot="1" x14ac:dyDescent="0.35">
      <c r="A12" s="8"/>
      <c r="B12" s="13" t="s">
        <v>14</v>
      </c>
      <c r="C12" s="10">
        <v>13454</v>
      </c>
      <c r="D12" s="11">
        <f t="shared" si="0"/>
        <v>161448</v>
      </c>
      <c r="E12" s="116">
        <f t="shared" si="1"/>
        <v>1.6830629574130777E-2</v>
      </c>
      <c r="F12" s="122">
        <v>93259.82</v>
      </c>
      <c r="G12" s="2"/>
      <c r="H12" s="2"/>
      <c r="I12" s="2"/>
      <c r="J12" s="2"/>
    </row>
    <row r="13" spans="1:10" ht="31.8" hidden="1" thickBot="1" x14ac:dyDescent="0.35">
      <c r="A13" s="8"/>
      <c r="B13" s="9" t="s">
        <v>15</v>
      </c>
      <c r="C13" s="10">
        <v>32284</v>
      </c>
      <c r="D13" s="11">
        <f t="shared" si="0"/>
        <v>387408</v>
      </c>
      <c r="E13" s="116">
        <f t="shared" si="1"/>
        <v>0.23219384489244024</v>
      </c>
      <c r="F13" s="122">
        <v>387408</v>
      </c>
      <c r="G13" s="2"/>
      <c r="H13" s="2"/>
      <c r="I13" s="2"/>
      <c r="J13" s="2"/>
    </row>
    <row r="14" spans="1:10" ht="16.8" hidden="1" thickBot="1" x14ac:dyDescent="0.35">
      <c r="A14" s="8"/>
      <c r="B14" s="14" t="s">
        <v>16</v>
      </c>
      <c r="C14" s="10">
        <v>3000</v>
      </c>
      <c r="D14" s="11">
        <f t="shared" si="0"/>
        <v>36000</v>
      </c>
      <c r="E14" s="116">
        <f t="shared" si="1"/>
        <v>3.832935133961083E-2</v>
      </c>
      <c r="F14" s="123">
        <v>36000</v>
      </c>
      <c r="G14" s="2"/>
      <c r="H14" s="2"/>
      <c r="I14" s="2"/>
      <c r="J14" s="2"/>
    </row>
    <row r="15" spans="1:10" ht="16.8" hidden="1" thickBot="1" x14ac:dyDescent="0.35">
      <c r="A15" s="8"/>
      <c r="B15" s="15" t="s">
        <v>17</v>
      </c>
      <c r="C15" s="10">
        <v>500</v>
      </c>
      <c r="D15" s="11">
        <f t="shared" si="0"/>
        <v>6000</v>
      </c>
      <c r="E15" s="116">
        <f t="shared" si="1"/>
        <v>0.1</v>
      </c>
      <c r="F15" s="109">
        <v>13000</v>
      </c>
    </row>
    <row r="16" spans="1:10" ht="16.8" thickBot="1" x14ac:dyDescent="0.35">
      <c r="A16" s="5" t="s">
        <v>18</v>
      </c>
      <c r="B16" s="6" t="s">
        <v>19</v>
      </c>
      <c r="C16" s="7">
        <f>SUM(C17:C22)</f>
        <v>19800</v>
      </c>
      <c r="D16" s="16">
        <f t="shared" si="0"/>
        <v>237600</v>
      </c>
      <c r="E16" s="201">
        <f>C16/C4</f>
        <v>0.73713503904395816</v>
      </c>
      <c r="F16" s="189">
        <f>F17+F18+F19+F20+F21+F22</f>
        <v>214527.39</v>
      </c>
    </row>
    <row r="17" spans="1:6" ht="16.8" hidden="1" thickBot="1" x14ac:dyDescent="0.35">
      <c r="A17" s="8"/>
      <c r="B17" s="17" t="s">
        <v>20</v>
      </c>
      <c r="C17" s="18">
        <v>3300</v>
      </c>
      <c r="D17" s="11">
        <f t="shared" si="0"/>
        <v>39600</v>
      </c>
      <c r="E17" s="116">
        <f t="shared" si="1"/>
        <v>0.24528021406273226</v>
      </c>
      <c r="F17" s="109">
        <v>39600</v>
      </c>
    </row>
    <row r="18" spans="1:6" ht="16.8" hidden="1" thickBot="1" x14ac:dyDescent="0.35">
      <c r="A18" s="8"/>
      <c r="B18" s="17" t="s">
        <v>209</v>
      </c>
      <c r="C18" s="18">
        <v>3300</v>
      </c>
      <c r="D18" s="11">
        <f t="shared" si="0"/>
        <v>39600</v>
      </c>
      <c r="E18" s="116">
        <f t="shared" si="1"/>
        <v>0.10221781687523231</v>
      </c>
      <c r="F18" s="109">
        <f>28600+7350+6600-2950</f>
        <v>39600</v>
      </c>
    </row>
    <row r="19" spans="1:6" ht="16.8" hidden="1" thickBot="1" x14ac:dyDescent="0.35">
      <c r="A19" s="8"/>
      <c r="B19" s="17" t="s">
        <v>21</v>
      </c>
      <c r="C19" s="18">
        <v>3300</v>
      </c>
      <c r="D19" s="11">
        <f t="shared" si="0"/>
        <v>39600</v>
      </c>
      <c r="E19" s="116">
        <f t="shared" si="1"/>
        <v>1.1000000000000001</v>
      </c>
      <c r="F19" s="109">
        <v>39600</v>
      </c>
    </row>
    <row r="20" spans="1:6" ht="16.8" hidden="1" thickBot="1" x14ac:dyDescent="0.35">
      <c r="A20" s="8"/>
      <c r="B20" s="17" t="s">
        <v>22</v>
      </c>
      <c r="C20" s="18">
        <v>3300</v>
      </c>
      <c r="D20" s="11">
        <f t="shared" si="0"/>
        <v>39600</v>
      </c>
      <c r="E20" s="116">
        <f t="shared" si="1"/>
        <v>6.6</v>
      </c>
      <c r="F20" s="109">
        <f>2129+1548.39+9900+2950</f>
        <v>16527.39</v>
      </c>
    </row>
    <row r="21" spans="1:6" ht="16.8" hidden="1" thickBot="1" x14ac:dyDescent="0.35">
      <c r="A21" s="8"/>
      <c r="B21" s="17" t="s">
        <v>23</v>
      </c>
      <c r="C21" s="18">
        <v>3300</v>
      </c>
      <c r="D21" s="11">
        <f t="shared" si="0"/>
        <v>39600</v>
      </c>
      <c r="E21" s="116">
        <f t="shared" si="1"/>
        <v>0.16666666666666666</v>
      </c>
      <c r="F21" s="109">
        <v>39600</v>
      </c>
    </row>
    <row r="22" spans="1:6" ht="16.2" hidden="1" x14ac:dyDescent="0.3">
      <c r="A22" s="162"/>
      <c r="B22" s="40" t="s">
        <v>24</v>
      </c>
      <c r="C22" s="163">
        <v>3300</v>
      </c>
      <c r="D22" s="100">
        <f t="shared" si="0"/>
        <v>39600</v>
      </c>
      <c r="E22" s="117">
        <f t="shared" si="1"/>
        <v>1</v>
      </c>
      <c r="F22" s="124">
        <v>39600</v>
      </c>
    </row>
    <row r="23" spans="1:6" ht="31.8" thickBot="1" x14ac:dyDescent="0.35">
      <c r="A23" s="161" t="s">
        <v>25</v>
      </c>
      <c r="B23" s="33" t="s">
        <v>26</v>
      </c>
      <c r="C23" s="101">
        <f>SUM(C24:C29)</f>
        <v>32170</v>
      </c>
      <c r="D23" s="102">
        <f t="shared" si="0"/>
        <v>386040</v>
      </c>
      <c r="E23" s="114">
        <f>C23/C4</f>
        <v>1.1976582932345523</v>
      </c>
      <c r="F23" s="107">
        <f>F24+F25+F26+F27+F28+F29</f>
        <v>238815</v>
      </c>
    </row>
    <row r="24" spans="1:6" ht="16.8" hidden="1" thickBot="1" x14ac:dyDescent="0.35">
      <c r="A24" s="20"/>
      <c r="B24" s="46" t="s">
        <v>27</v>
      </c>
      <c r="C24" s="21">
        <v>3550</v>
      </c>
      <c r="D24" s="22">
        <f t="shared" si="0"/>
        <v>42600</v>
      </c>
      <c r="E24" s="115">
        <f t="shared" si="1"/>
        <v>1.0757575757575757</v>
      </c>
      <c r="F24" s="110">
        <v>-40825</v>
      </c>
    </row>
    <row r="25" spans="1:6" ht="16.8" hidden="1" thickBot="1" x14ac:dyDescent="0.35">
      <c r="A25" s="20"/>
      <c r="B25" s="14" t="s">
        <v>28</v>
      </c>
      <c r="C25" s="21">
        <v>3000</v>
      </c>
      <c r="D25" s="22">
        <f t="shared" si="0"/>
        <v>36000</v>
      </c>
      <c r="E25" s="116">
        <f t="shared" si="1"/>
        <v>0.90909090909090906</v>
      </c>
      <c r="F25" s="109">
        <v>36000</v>
      </c>
    </row>
    <row r="26" spans="1:6" ht="16.8" hidden="1" thickBot="1" x14ac:dyDescent="0.35">
      <c r="A26" s="20"/>
      <c r="B26" s="13" t="s">
        <v>29</v>
      </c>
      <c r="C26" s="21">
        <v>1000</v>
      </c>
      <c r="D26" s="22">
        <f t="shared" si="0"/>
        <v>12000</v>
      </c>
      <c r="E26" s="116">
        <f t="shared" si="1"/>
        <v>0.30303030303030304</v>
      </c>
      <c r="F26" s="109">
        <v>13000</v>
      </c>
    </row>
    <row r="27" spans="1:6" ht="31.8" hidden="1" thickBot="1" x14ac:dyDescent="0.35">
      <c r="A27" s="20"/>
      <c r="B27" s="13" t="s">
        <v>30</v>
      </c>
      <c r="C27" s="21">
        <v>6400</v>
      </c>
      <c r="D27" s="22">
        <f t="shared" si="0"/>
        <v>76800</v>
      </c>
      <c r="E27" s="116">
        <f t="shared" si="1"/>
        <v>1.9393939393939394</v>
      </c>
      <c r="F27" s="109">
        <v>76800</v>
      </c>
    </row>
    <row r="28" spans="1:6" ht="16.8" hidden="1" thickBot="1" x14ac:dyDescent="0.35">
      <c r="A28" s="20"/>
      <c r="B28" s="13" t="s">
        <v>31</v>
      </c>
      <c r="C28" s="21">
        <v>5400</v>
      </c>
      <c r="D28" s="22">
        <f t="shared" si="0"/>
        <v>64800</v>
      </c>
      <c r="E28" s="116">
        <f t="shared" si="1"/>
        <v>0.16785825303077401</v>
      </c>
      <c r="F28" s="109">
        <v>0</v>
      </c>
    </row>
    <row r="29" spans="1:6" ht="16.8" hidden="1" thickBot="1" x14ac:dyDescent="0.35">
      <c r="A29" s="20"/>
      <c r="B29" s="23" t="s">
        <v>32</v>
      </c>
      <c r="C29" s="21">
        <v>12820</v>
      </c>
      <c r="D29" s="22">
        <f t="shared" si="0"/>
        <v>153840</v>
      </c>
      <c r="E29" s="116">
        <f t="shared" si="1"/>
        <v>3.6112676056338029</v>
      </c>
      <c r="F29" s="109">
        <v>153840</v>
      </c>
    </row>
    <row r="30" spans="1:6" ht="31.8" thickBot="1" x14ac:dyDescent="0.35">
      <c r="A30" s="5" t="s">
        <v>33</v>
      </c>
      <c r="B30" s="19" t="s">
        <v>34</v>
      </c>
      <c r="C30" s="7">
        <f>SUM(C31:C33)</f>
        <v>5800</v>
      </c>
      <c r="D30" s="16">
        <f>SUM(D31:D33)</f>
        <v>69600</v>
      </c>
      <c r="E30" s="201">
        <f>C30/C4</f>
        <v>0.2159284457805534</v>
      </c>
      <c r="F30" s="189">
        <f>F31+F32+F33</f>
        <v>81040</v>
      </c>
    </row>
    <row r="31" spans="1:6" ht="16.8" hidden="1" thickBot="1" x14ac:dyDescent="0.35">
      <c r="A31" s="20"/>
      <c r="B31" s="14" t="s">
        <v>35</v>
      </c>
      <c r="C31" s="21">
        <v>5000</v>
      </c>
      <c r="D31" s="22">
        <f>C31*12</f>
        <v>60000</v>
      </c>
      <c r="E31" s="116">
        <f t="shared" si="1"/>
        <v>5</v>
      </c>
      <c r="F31" s="109">
        <v>71440</v>
      </c>
    </row>
    <row r="32" spans="1:6" ht="16.8" hidden="1" thickBot="1" x14ac:dyDescent="0.35">
      <c r="A32" s="20"/>
      <c r="B32" s="13" t="s">
        <v>36</v>
      </c>
      <c r="C32" s="21">
        <v>300</v>
      </c>
      <c r="D32" s="22">
        <f>C32*12</f>
        <v>3600</v>
      </c>
      <c r="E32" s="116">
        <f t="shared" si="1"/>
        <v>4.6875E-2</v>
      </c>
      <c r="F32" s="109">
        <v>3600</v>
      </c>
    </row>
    <row r="33" spans="1:6" ht="16.2" hidden="1" x14ac:dyDescent="0.3">
      <c r="A33" s="164"/>
      <c r="B33" s="165" t="s">
        <v>37</v>
      </c>
      <c r="C33" s="166">
        <v>500</v>
      </c>
      <c r="D33" s="167">
        <f>C33*12</f>
        <v>6000</v>
      </c>
      <c r="E33" s="117">
        <f t="shared" si="1"/>
        <v>9.2592592592592587E-2</v>
      </c>
      <c r="F33" s="124">
        <v>6000</v>
      </c>
    </row>
    <row r="34" spans="1:6" ht="31.8" thickBot="1" x14ac:dyDescent="0.35">
      <c r="A34" s="161" t="s">
        <v>38</v>
      </c>
      <c r="B34" s="33" t="s">
        <v>39</v>
      </c>
      <c r="C34" s="168">
        <v>3000</v>
      </c>
      <c r="D34" s="102">
        <f>C34*12</f>
        <v>36000</v>
      </c>
      <c r="E34" s="114">
        <f>C34/C4</f>
        <v>0.11168712712787246</v>
      </c>
      <c r="F34" s="107">
        <v>4070</v>
      </c>
    </row>
    <row r="35" spans="1:6" ht="18.600000000000001" thickBot="1" x14ac:dyDescent="0.35">
      <c r="A35" s="150" t="s">
        <v>40</v>
      </c>
      <c r="B35" s="151" t="s">
        <v>41</v>
      </c>
      <c r="C35" s="152">
        <f>C36+C113</f>
        <v>922862.40000000014</v>
      </c>
      <c r="D35" s="153">
        <f>D36+D113</f>
        <v>11046352.800000001</v>
      </c>
      <c r="E35" s="199">
        <f>C35/C4</f>
        <v>34.357283396777831</v>
      </c>
      <c r="F35" s="187">
        <f>F36+F113</f>
        <v>10469513</v>
      </c>
    </row>
    <row r="36" spans="1:6" ht="36.6" thickBot="1" x14ac:dyDescent="0.35">
      <c r="A36" s="60" t="s">
        <v>42</v>
      </c>
      <c r="B36" s="61" t="s">
        <v>43</v>
      </c>
      <c r="C36" s="62">
        <f>C37+C62+C110</f>
        <v>799329.07000000007</v>
      </c>
      <c r="D36" s="169">
        <f t="shared" ref="D36:E36" si="2">D37+D62+D110</f>
        <v>9563952.8399999999</v>
      </c>
      <c r="E36" s="202">
        <f t="shared" si="2"/>
        <v>29.758255819364685</v>
      </c>
      <c r="F36" s="149">
        <f>F37+F62+F110</f>
        <v>9416558</v>
      </c>
    </row>
    <row r="37" spans="1:6" ht="51" thickBot="1" x14ac:dyDescent="0.35">
      <c r="A37" s="170" t="s">
        <v>7</v>
      </c>
      <c r="B37" s="171" t="s">
        <v>44</v>
      </c>
      <c r="C37" s="125">
        <f>C38+C40+C50+C55</f>
        <v>273395.58666666661</v>
      </c>
      <c r="D37" s="126">
        <f>D38+D40+D50+D55</f>
        <v>3280747.04</v>
      </c>
      <c r="E37" s="203">
        <f>E38+E40+E50+E55</f>
        <v>10.17825588141309</v>
      </c>
      <c r="F37" s="190">
        <f>F38+F40+F50+F55</f>
        <v>3210812</v>
      </c>
    </row>
    <row r="38" spans="1:6" ht="34.200000000000003" thickBot="1" x14ac:dyDescent="0.35">
      <c r="A38" s="172" t="s">
        <v>45</v>
      </c>
      <c r="B38" s="173" t="s">
        <v>46</v>
      </c>
      <c r="C38" s="127">
        <f>C39</f>
        <v>76398</v>
      </c>
      <c r="D38" s="128">
        <f>D39</f>
        <v>916776</v>
      </c>
      <c r="E38" s="129">
        <f>E39</f>
        <v>2.8442243794383999</v>
      </c>
      <c r="F38" s="130">
        <f>F39</f>
        <v>916776</v>
      </c>
    </row>
    <row r="39" spans="1:6" ht="31.8" hidden="1" thickBot="1" x14ac:dyDescent="0.35">
      <c r="A39" s="20" t="s">
        <v>47</v>
      </c>
      <c r="B39" s="23" t="s">
        <v>48</v>
      </c>
      <c r="C39" s="25">
        <v>76398</v>
      </c>
      <c r="D39" s="26">
        <f>C39*12</f>
        <v>916776</v>
      </c>
      <c r="E39" s="204">
        <f>C39/C4</f>
        <v>2.8442243794383999</v>
      </c>
      <c r="F39" s="110">
        <v>916776</v>
      </c>
    </row>
    <row r="40" spans="1:6" ht="47.4" thickBot="1" x14ac:dyDescent="0.35">
      <c r="A40" s="27" t="s">
        <v>49</v>
      </c>
      <c r="B40" s="19" t="s">
        <v>50</v>
      </c>
      <c r="C40" s="28">
        <f>SUM(C41:C49)</f>
        <v>153304.83333333331</v>
      </c>
      <c r="D40" s="29">
        <f>SUM(D41:D49)</f>
        <v>1839658</v>
      </c>
      <c r="E40" s="205">
        <f>SUM(E41:E49)</f>
        <v>5.7073921366057672</v>
      </c>
      <c r="F40" s="191">
        <f>SUM(F41:F49)</f>
        <v>1911771</v>
      </c>
    </row>
    <row r="41" spans="1:6" ht="31.8" hidden="1" thickBot="1" x14ac:dyDescent="0.35">
      <c r="A41" s="20" t="s">
        <v>51</v>
      </c>
      <c r="B41" s="23" t="s">
        <v>52</v>
      </c>
      <c r="C41" s="25">
        <v>29000</v>
      </c>
      <c r="D41" s="26">
        <f>C41*12</f>
        <v>348000</v>
      </c>
      <c r="E41" s="206">
        <f>C41/C4</f>
        <v>1.079642228902767</v>
      </c>
      <c r="F41" s="109">
        <v>348000</v>
      </c>
    </row>
    <row r="42" spans="1:6" ht="31.8" hidden="1" thickBot="1" x14ac:dyDescent="0.35">
      <c r="A42" s="20" t="s">
        <v>53</v>
      </c>
      <c r="B42" s="23" t="s">
        <v>54</v>
      </c>
      <c r="C42" s="25">
        <v>42000</v>
      </c>
      <c r="D42" s="26">
        <f>C42*12</f>
        <v>504000</v>
      </c>
      <c r="E42" s="206">
        <f>C42/C4</f>
        <v>1.5636197797902143</v>
      </c>
      <c r="F42" s="109">
        <v>526492</v>
      </c>
    </row>
    <row r="43" spans="1:6" ht="47.4" hidden="1" thickBot="1" x14ac:dyDescent="0.35">
      <c r="A43" s="20" t="s">
        <v>55</v>
      </c>
      <c r="B43" s="23" t="s">
        <v>56</v>
      </c>
      <c r="C43" s="30">
        <v>2500</v>
      </c>
      <c r="D43" s="26">
        <f>C43*12</f>
        <v>30000</v>
      </c>
      <c r="E43" s="206">
        <f>C43/C4</f>
        <v>9.3072605939893707E-2</v>
      </c>
      <c r="F43" s="109">
        <f>18803+3411</f>
        <v>22214</v>
      </c>
    </row>
    <row r="44" spans="1:6" ht="31.8" hidden="1" thickBot="1" x14ac:dyDescent="0.35">
      <c r="A44" s="20" t="s">
        <v>57</v>
      </c>
      <c r="B44" s="17" t="s">
        <v>58</v>
      </c>
      <c r="C44" s="25">
        <v>2000</v>
      </c>
      <c r="D44" s="26">
        <f>C44*12</f>
        <v>24000</v>
      </c>
      <c r="E44" s="206">
        <f>C44/C4</f>
        <v>7.4458084751914969E-2</v>
      </c>
      <c r="F44" s="109">
        <v>24000</v>
      </c>
    </row>
    <row r="45" spans="1:6" ht="31.8" hidden="1" thickBot="1" x14ac:dyDescent="0.35">
      <c r="A45" s="20" t="s">
        <v>59</v>
      </c>
      <c r="B45" s="23" t="s">
        <v>60</v>
      </c>
      <c r="C45" s="25">
        <f>D45/12</f>
        <v>11715.5</v>
      </c>
      <c r="D45" s="26">
        <v>140586</v>
      </c>
      <c r="E45" s="206">
        <f>C45/C4</f>
        <v>0.43615684595552989</v>
      </c>
      <c r="F45" s="109">
        <v>161451</v>
      </c>
    </row>
    <row r="46" spans="1:6" ht="31.8" hidden="1" thickBot="1" x14ac:dyDescent="0.35">
      <c r="A46" s="20" t="s">
        <v>61</v>
      </c>
      <c r="B46" s="23" t="s">
        <v>62</v>
      </c>
      <c r="C46" s="25">
        <f>D46/12</f>
        <v>5256</v>
      </c>
      <c r="D46" s="26">
        <v>63072</v>
      </c>
      <c r="E46" s="206">
        <f>C46/C4</f>
        <v>0.19567584672803254</v>
      </c>
      <c r="F46" s="109">
        <v>55285</v>
      </c>
    </row>
    <row r="47" spans="1:6" ht="31.8" hidden="1" thickBot="1" x14ac:dyDescent="0.35">
      <c r="A47" s="20" t="s">
        <v>63</v>
      </c>
      <c r="B47" s="23" t="s">
        <v>64</v>
      </c>
      <c r="C47" s="31">
        <f>D47/12</f>
        <v>833.33333333333337</v>
      </c>
      <c r="D47" s="26">
        <v>10000</v>
      </c>
      <c r="E47" s="206">
        <f>C47/C4</f>
        <v>3.1024201979964573E-2</v>
      </c>
      <c r="F47" s="109">
        <v>0</v>
      </c>
    </row>
    <row r="48" spans="1:6" ht="109.8" hidden="1" thickBot="1" x14ac:dyDescent="0.35">
      <c r="A48" s="20" t="s">
        <v>65</v>
      </c>
      <c r="B48" s="17" t="s">
        <v>66</v>
      </c>
      <c r="C48" s="31">
        <v>5000</v>
      </c>
      <c r="D48" s="26">
        <f>C48*12</f>
        <v>60000</v>
      </c>
      <c r="E48" s="206">
        <f>C48/C4</f>
        <v>0.18614521187978741</v>
      </c>
      <c r="F48" s="109">
        <v>76353</v>
      </c>
    </row>
    <row r="49" spans="1:6" ht="31.8" hidden="1" thickBot="1" x14ac:dyDescent="0.35">
      <c r="A49" s="164" t="s">
        <v>67</v>
      </c>
      <c r="B49" s="40" t="s">
        <v>68</v>
      </c>
      <c r="C49" s="41">
        <v>55000</v>
      </c>
      <c r="D49" s="42">
        <f>C49*12</f>
        <v>660000</v>
      </c>
      <c r="E49" s="207">
        <f>C49/C4</f>
        <v>2.0475973306776618</v>
      </c>
      <c r="F49" s="124">
        <v>697976</v>
      </c>
    </row>
    <row r="50" spans="1:6" ht="16.2" thickBot="1" x14ac:dyDescent="0.35">
      <c r="A50" s="32" t="s">
        <v>69</v>
      </c>
      <c r="B50" s="33" t="s">
        <v>70</v>
      </c>
      <c r="C50" s="34">
        <f>SUM(C51:C54)</f>
        <v>23116.666666666668</v>
      </c>
      <c r="D50" s="35">
        <f>SUM(D51:D54)</f>
        <v>277400</v>
      </c>
      <c r="E50" s="131">
        <f>SUM(E51:E54)</f>
        <v>0.86061136292421714</v>
      </c>
      <c r="F50" s="132">
        <f>SUM(F51:F54)</f>
        <v>93479</v>
      </c>
    </row>
    <row r="51" spans="1:6" ht="31.8" hidden="1" thickBot="1" x14ac:dyDescent="0.35">
      <c r="A51" s="8" t="s">
        <v>71</v>
      </c>
      <c r="B51" s="17" t="s">
        <v>72</v>
      </c>
      <c r="C51" s="31">
        <v>21200</v>
      </c>
      <c r="D51" s="26">
        <f>C51*12</f>
        <v>254400</v>
      </c>
      <c r="E51" s="134">
        <f>C51/C4</f>
        <v>0.78925569837029863</v>
      </c>
      <c r="F51" s="110">
        <v>90545</v>
      </c>
    </row>
    <row r="52" spans="1:6" ht="31.8" hidden="1" thickBot="1" x14ac:dyDescent="0.35">
      <c r="A52" s="8" t="s">
        <v>73</v>
      </c>
      <c r="B52" s="23" t="s">
        <v>74</v>
      </c>
      <c r="C52" s="31">
        <v>500</v>
      </c>
      <c r="D52" s="26">
        <f>C52*12</f>
        <v>6000</v>
      </c>
      <c r="E52" s="118">
        <f>C52/C4</f>
        <v>1.8614521187978742E-2</v>
      </c>
      <c r="F52" s="109">
        <v>0</v>
      </c>
    </row>
    <row r="53" spans="1:6" ht="31.8" hidden="1" thickBot="1" x14ac:dyDescent="0.35">
      <c r="A53" s="8" t="s">
        <v>75</v>
      </c>
      <c r="B53" s="17" t="s">
        <v>76</v>
      </c>
      <c r="C53" s="31">
        <f>D53/12</f>
        <v>250</v>
      </c>
      <c r="D53" s="26">
        <v>3000</v>
      </c>
      <c r="E53" s="118">
        <f>C53/C4</f>
        <v>9.3072605939893711E-3</v>
      </c>
      <c r="F53" s="109">
        <v>2934</v>
      </c>
    </row>
    <row r="54" spans="1:6" ht="47.4" hidden="1" thickBot="1" x14ac:dyDescent="0.35">
      <c r="A54" s="8" t="s">
        <v>77</v>
      </c>
      <c r="B54" s="17" t="s">
        <v>78</v>
      </c>
      <c r="C54" s="31">
        <f>D54/12</f>
        <v>1166.6666666666667</v>
      </c>
      <c r="D54" s="26">
        <v>14000</v>
      </c>
      <c r="E54" s="118">
        <f>C54/C4</f>
        <v>4.3433882771950399E-2</v>
      </c>
      <c r="F54" s="109">
        <v>0</v>
      </c>
    </row>
    <row r="55" spans="1:6" ht="47.4" thickBot="1" x14ac:dyDescent="0.35">
      <c r="A55" s="27" t="s">
        <v>79</v>
      </c>
      <c r="B55" s="19" t="s">
        <v>80</v>
      </c>
      <c r="C55" s="28">
        <f>SUM(C56:C61)</f>
        <v>20576.086666666666</v>
      </c>
      <c r="D55" s="36">
        <f>C55*12</f>
        <v>246913.03999999998</v>
      </c>
      <c r="E55" s="205">
        <f>SUM(E56:E61)</f>
        <v>0.76602800244470703</v>
      </c>
      <c r="F55" s="189">
        <f>F56+F57+F58+F59+F60+F61</f>
        <v>288786</v>
      </c>
    </row>
    <row r="56" spans="1:6" ht="31.8" hidden="1" thickBot="1" x14ac:dyDescent="0.35">
      <c r="A56" s="8" t="s">
        <v>81</v>
      </c>
      <c r="B56" s="23" t="s">
        <v>82</v>
      </c>
      <c r="C56" s="31">
        <v>290</v>
      </c>
      <c r="D56" s="26">
        <f t="shared" ref="D56:D60" si="3">C56*12</f>
        <v>3480</v>
      </c>
      <c r="E56" s="118">
        <f>C56/C4</f>
        <v>1.079642228902767E-2</v>
      </c>
      <c r="F56" s="109">
        <f>1574+1200</f>
        <v>2774</v>
      </c>
    </row>
    <row r="57" spans="1:6" ht="31.8" hidden="1" thickBot="1" x14ac:dyDescent="0.35">
      <c r="A57" s="8" t="s">
        <v>83</v>
      </c>
      <c r="B57" s="23" t="s">
        <v>84</v>
      </c>
      <c r="C57" s="31">
        <v>99</v>
      </c>
      <c r="D57" s="26">
        <f t="shared" si="3"/>
        <v>1188</v>
      </c>
      <c r="E57" s="208">
        <f>C57/C4</f>
        <v>3.6856751952197911E-3</v>
      </c>
      <c r="F57" s="109">
        <v>55531</v>
      </c>
    </row>
    <row r="58" spans="1:6" ht="63" hidden="1" thickBot="1" x14ac:dyDescent="0.35">
      <c r="A58" s="8" t="s">
        <v>85</v>
      </c>
      <c r="B58" s="23" t="s">
        <v>86</v>
      </c>
      <c r="C58" s="25">
        <v>3500</v>
      </c>
      <c r="D58" s="26">
        <f t="shared" si="3"/>
        <v>42000</v>
      </c>
      <c r="E58" s="118">
        <f>C58/C4</f>
        <v>0.1303016483158512</v>
      </c>
      <c r="F58" s="109">
        <v>33930</v>
      </c>
    </row>
    <row r="59" spans="1:6" ht="63" hidden="1" thickBot="1" x14ac:dyDescent="0.35">
      <c r="A59" s="8" t="s">
        <v>87</v>
      </c>
      <c r="B59" s="23" t="s">
        <v>88</v>
      </c>
      <c r="C59" s="25">
        <v>12729.17</v>
      </c>
      <c r="D59" s="26">
        <f t="shared" si="3"/>
        <v>152750.04</v>
      </c>
      <c r="E59" s="118">
        <f>C59/C4</f>
        <v>0.47389480934076672</v>
      </c>
      <c r="F59" s="109">
        <f>192347-40000</f>
        <v>152347</v>
      </c>
    </row>
    <row r="60" spans="1:6" ht="47.4" hidden="1" thickBot="1" x14ac:dyDescent="0.35">
      <c r="A60" s="8" t="s">
        <v>89</v>
      </c>
      <c r="B60" s="23" t="s">
        <v>90</v>
      </c>
      <c r="C60" s="25">
        <v>3000</v>
      </c>
      <c r="D60" s="26">
        <f t="shared" si="3"/>
        <v>36000</v>
      </c>
      <c r="E60" s="118">
        <f>C60/C4</f>
        <v>0.11168712712787246</v>
      </c>
      <c r="F60" s="109">
        <f>30900+6000</f>
        <v>36900</v>
      </c>
    </row>
    <row r="61" spans="1:6" ht="31.2" hidden="1" x14ac:dyDescent="0.3">
      <c r="A61" s="162" t="s">
        <v>91</v>
      </c>
      <c r="B61" s="40" t="s">
        <v>92</v>
      </c>
      <c r="C61" s="41">
        <f>D61/12</f>
        <v>957.91666666666663</v>
      </c>
      <c r="D61" s="42">
        <v>11495</v>
      </c>
      <c r="E61" s="133">
        <f>C61/C4</f>
        <v>3.5662320175969271E-2</v>
      </c>
      <c r="F61" s="124">
        <v>7304</v>
      </c>
    </row>
    <row r="62" spans="1:6" ht="34.200000000000003" thickBot="1" x14ac:dyDescent="0.35">
      <c r="A62" s="174" t="s">
        <v>10</v>
      </c>
      <c r="B62" s="175" t="s">
        <v>93</v>
      </c>
      <c r="C62" s="145">
        <f>C63+C66+C68+C73+C88+C93+C98+C102+C104+C106</f>
        <v>469976.68333333335</v>
      </c>
      <c r="D62" s="176">
        <f t="shared" ref="D62:F62" si="4">D63+D66+D68+D73+D88+D93+D98+D102+D104+D106</f>
        <v>5611724.2000000002</v>
      </c>
      <c r="E62" s="145">
        <f t="shared" si="4"/>
        <v>17.496781859528618</v>
      </c>
      <c r="F62" s="192">
        <f t="shared" si="4"/>
        <v>5719403</v>
      </c>
    </row>
    <row r="63" spans="1:6" ht="31.8" thickBot="1" x14ac:dyDescent="0.35">
      <c r="A63" s="27" t="s">
        <v>94</v>
      </c>
      <c r="B63" s="19" t="s">
        <v>95</v>
      </c>
      <c r="C63" s="28">
        <f>SUM(C64:C65)</f>
        <v>34316.666666666664</v>
      </c>
      <c r="D63" s="29">
        <f t="shared" ref="D63:F63" si="5">SUM(D64:D65)</f>
        <v>411800</v>
      </c>
      <c r="E63" s="209">
        <f>E64+E65</f>
        <v>1.2775766375349411</v>
      </c>
      <c r="F63" s="193">
        <f t="shared" si="5"/>
        <v>370640</v>
      </c>
    </row>
    <row r="64" spans="1:6" ht="78.599999999999994" hidden="1" thickBot="1" x14ac:dyDescent="0.35">
      <c r="A64" s="8" t="s">
        <v>96</v>
      </c>
      <c r="B64" s="17" t="s">
        <v>97</v>
      </c>
      <c r="C64" s="31">
        <v>18900</v>
      </c>
      <c r="D64" s="26">
        <f>C64*12</f>
        <v>226800</v>
      </c>
      <c r="E64" s="118">
        <f>C64/C4</f>
        <v>0.70362890090559649</v>
      </c>
      <c r="F64" s="109">
        <v>230640</v>
      </c>
    </row>
    <row r="65" spans="1:6" ht="46.8" hidden="1" x14ac:dyDescent="0.3">
      <c r="A65" s="162"/>
      <c r="B65" s="137" t="s">
        <v>98</v>
      </c>
      <c r="C65" s="135">
        <f>D65/12</f>
        <v>15416.666666666666</v>
      </c>
      <c r="D65" s="42">
        <v>185000</v>
      </c>
      <c r="E65" s="133">
        <f>C65/C4</f>
        <v>0.57394773662934451</v>
      </c>
      <c r="F65" s="124">
        <f>70000+70000</f>
        <v>140000</v>
      </c>
    </row>
    <row r="66" spans="1:6" ht="16.2" thickBot="1" x14ac:dyDescent="0.35">
      <c r="A66" s="32" t="s">
        <v>99</v>
      </c>
      <c r="B66" s="177" t="s">
        <v>100</v>
      </c>
      <c r="C66" s="132">
        <f>C67</f>
        <v>7350</v>
      </c>
      <c r="D66" s="136">
        <f t="shared" ref="D66:F66" si="6">D67</f>
        <v>88200</v>
      </c>
      <c r="E66" s="131">
        <f t="shared" si="6"/>
        <v>0.27363346146328749</v>
      </c>
      <c r="F66" s="138">
        <f t="shared" si="6"/>
        <v>89700</v>
      </c>
    </row>
    <row r="67" spans="1:6" ht="78.599999999999994" hidden="1" thickBot="1" x14ac:dyDescent="0.35">
      <c r="A67" s="8" t="s">
        <v>101</v>
      </c>
      <c r="B67" s="39" t="s">
        <v>102</v>
      </c>
      <c r="C67" s="38">
        <v>7350</v>
      </c>
      <c r="D67" s="26">
        <f>C67*12</f>
        <v>88200</v>
      </c>
      <c r="E67" s="134">
        <f>C67/C4</f>
        <v>0.27363346146328749</v>
      </c>
      <c r="F67" s="110">
        <v>89700</v>
      </c>
    </row>
    <row r="68" spans="1:6" ht="31.8" thickBot="1" x14ac:dyDescent="0.35">
      <c r="A68" s="27" t="s">
        <v>103</v>
      </c>
      <c r="B68" s="19" t="s">
        <v>104</v>
      </c>
      <c r="C68" s="28">
        <f>SUM(C69:C72)</f>
        <v>24709</v>
      </c>
      <c r="D68" s="36">
        <f>C68*12</f>
        <v>296508</v>
      </c>
      <c r="E68" s="205">
        <f>SUM(E69:E72)</f>
        <v>0.91989240806753358</v>
      </c>
      <c r="F68" s="194">
        <f>F69+F70+F71+F72</f>
        <v>380780</v>
      </c>
    </row>
    <row r="69" spans="1:6" ht="31.8" hidden="1" thickBot="1" x14ac:dyDescent="0.35">
      <c r="A69" s="8" t="s">
        <v>105</v>
      </c>
      <c r="B69" s="23" t="s">
        <v>106</v>
      </c>
      <c r="C69" s="31">
        <v>15518</v>
      </c>
      <c r="D69" s="26">
        <f>C69*12</f>
        <v>186216</v>
      </c>
      <c r="E69" s="118">
        <f>C69/C4</f>
        <v>0.5777202795901083</v>
      </c>
      <c r="F69" s="109">
        <v>203283</v>
      </c>
    </row>
    <row r="70" spans="1:6" ht="31.8" hidden="1" thickBot="1" x14ac:dyDescent="0.35">
      <c r="A70" s="8" t="s">
        <v>107</v>
      </c>
      <c r="B70" s="23" t="s">
        <v>108</v>
      </c>
      <c r="C70" s="31">
        <f>D70/12</f>
        <v>3649.0833333333335</v>
      </c>
      <c r="D70" s="26">
        <v>43789</v>
      </c>
      <c r="E70" s="118">
        <f>C70/C4</f>
        <v>0.13585187805006688</v>
      </c>
      <c r="F70" s="109">
        <v>65777</v>
      </c>
    </row>
    <row r="71" spans="1:6" ht="31.8" hidden="1" thickBot="1" x14ac:dyDescent="0.35">
      <c r="A71" s="8" t="s">
        <v>109</v>
      </c>
      <c r="B71" s="23" t="s">
        <v>110</v>
      </c>
      <c r="C71" s="31">
        <f>D70:D71/12</f>
        <v>1941.9166666666667</v>
      </c>
      <c r="D71" s="26">
        <v>23303</v>
      </c>
      <c r="E71" s="118">
        <f>C71/C4</f>
        <v>7.2295697873911435E-2</v>
      </c>
      <c r="F71" s="109">
        <v>14521</v>
      </c>
    </row>
    <row r="72" spans="1:6" ht="46.8" hidden="1" x14ac:dyDescent="0.3">
      <c r="A72" s="162" t="s">
        <v>111</v>
      </c>
      <c r="B72" s="40" t="s">
        <v>112</v>
      </c>
      <c r="C72" s="41">
        <v>3600</v>
      </c>
      <c r="D72" s="42">
        <f>C72*12</f>
        <v>43200</v>
      </c>
      <c r="E72" s="133">
        <f>C72/C4</f>
        <v>0.13402455255344695</v>
      </c>
      <c r="F72" s="124">
        <f>97199</f>
        <v>97199</v>
      </c>
    </row>
    <row r="73" spans="1:6" ht="31.8" thickBot="1" x14ac:dyDescent="0.35">
      <c r="A73" s="32" t="s">
        <v>113</v>
      </c>
      <c r="B73" s="33" t="s">
        <v>114</v>
      </c>
      <c r="C73" s="34">
        <f>SUM(C74:C87)</f>
        <v>148082.75</v>
      </c>
      <c r="D73" s="35">
        <f>SUM(D74:D87)</f>
        <v>1776993</v>
      </c>
      <c r="E73" s="131">
        <f>SUM(E74:E87)</f>
        <v>5.512978974898318</v>
      </c>
      <c r="F73" s="138">
        <f>SUM(F74:F87)</f>
        <v>2004511</v>
      </c>
    </row>
    <row r="74" spans="1:6" ht="31.8" hidden="1" thickBot="1" x14ac:dyDescent="0.35">
      <c r="A74" s="8" t="s">
        <v>115</v>
      </c>
      <c r="B74" s="17" t="s">
        <v>116</v>
      </c>
      <c r="C74" s="31">
        <v>26500</v>
      </c>
      <c r="D74" s="26">
        <f>C74*12</f>
        <v>318000</v>
      </c>
      <c r="E74" s="134">
        <f>C74/C4</f>
        <v>0.98656962296287332</v>
      </c>
      <c r="F74" s="110">
        <v>636000</v>
      </c>
    </row>
    <row r="75" spans="1:6" ht="31.8" hidden="1" thickBot="1" x14ac:dyDescent="0.35">
      <c r="A75" s="8" t="s">
        <v>117</v>
      </c>
      <c r="B75" s="17" t="s">
        <v>118</v>
      </c>
      <c r="C75" s="31">
        <v>34483</v>
      </c>
      <c r="D75" s="26">
        <f>C75*12</f>
        <v>413796</v>
      </c>
      <c r="E75" s="118">
        <f>C75/C4</f>
        <v>1.2837690682501419</v>
      </c>
      <c r="F75" s="109">
        <v>379454</v>
      </c>
    </row>
    <row r="76" spans="1:6" ht="31.8" hidden="1" thickBot="1" x14ac:dyDescent="0.35">
      <c r="A76" s="8" t="s">
        <v>119</v>
      </c>
      <c r="B76" s="17" t="s">
        <v>120</v>
      </c>
      <c r="C76" s="31">
        <f>D76/12</f>
        <v>4315.25</v>
      </c>
      <c r="D76" s="26">
        <v>51783</v>
      </c>
      <c r="E76" s="118">
        <f>C76/C4</f>
        <v>0.16065262511285053</v>
      </c>
      <c r="F76" s="109">
        <v>54061</v>
      </c>
    </row>
    <row r="77" spans="1:6" ht="31.8" hidden="1" thickBot="1" x14ac:dyDescent="0.35">
      <c r="A77" s="8" t="s">
        <v>121</v>
      </c>
      <c r="B77" s="23" t="s">
        <v>64</v>
      </c>
      <c r="C77" s="31">
        <f>D77/12</f>
        <v>833.33333333333337</v>
      </c>
      <c r="D77" s="26">
        <v>10000</v>
      </c>
      <c r="E77" s="206">
        <f>C77/C4</f>
        <v>3.1024201979964573E-2</v>
      </c>
      <c r="F77" s="109">
        <v>0</v>
      </c>
    </row>
    <row r="78" spans="1:6" ht="31.8" hidden="1" thickBot="1" x14ac:dyDescent="0.35">
      <c r="A78" s="8" t="s">
        <v>122</v>
      </c>
      <c r="B78" s="17" t="s">
        <v>123</v>
      </c>
      <c r="C78" s="31">
        <v>9195</v>
      </c>
      <c r="D78" s="26">
        <f>C78*12</f>
        <v>110340</v>
      </c>
      <c r="E78" s="118">
        <f>C78/C4</f>
        <v>0.34232104464692908</v>
      </c>
      <c r="F78" s="109">
        <f>74995+47959</f>
        <v>122954</v>
      </c>
    </row>
    <row r="79" spans="1:6" ht="31.8" hidden="1" thickBot="1" x14ac:dyDescent="0.35">
      <c r="A79" s="8" t="s">
        <v>124</v>
      </c>
      <c r="B79" s="17" t="s">
        <v>125</v>
      </c>
      <c r="C79" s="31">
        <f>D79/12</f>
        <v>9947.8333333333339</v>
      </c>
      <c r="D79" s="26">
        <f>86483+10823+22068</f>
        <v>119374</v>
      </c>
      <c r="E79" s="118">
        <f>C79/C4</f>
        <v>0.37034830871562907</v>
      </c>
      <c r="F79" s="109">
        <v>128838</v>
      </c>
    </row>
    <row r="80" spans="1:6" ht="31.8" hidden="1" thickBot="1" x14ac:dyDescent="0.35">
      <c r="A80" s="8" t="s">
        <v>126</v>
      </c>
      <c r="B80" s="17" t="s">
        <v>127</v>
      </c>
      <c r="C80" s="31">
        <v>5100</v>
      </c>
      <c r="D80" s="26">
        <f t="shared" ref="D80:D86" si="7">C80*12</f>
        <v>61200</v>
      </c>
      <c r="E80" s="118">
        <f>C80/C4</f>
        <v>0.18986811611738316</v>
      </c>
      <c r="F80" s="109">
        <v>67307</v>
      </c>
    </row>
    <row r="81" spans="1:6" ht="47.4" hidden="1" thickBot="1" x14ac:dyDescent="0.35">
      <c r="A81" s="8" t="s">
        <v>128</v>
      </c>
      <c r="B81" s="17" t="s">
        <v>129</v>
      </c>
      <c r="C81" s="31">
        <v>2500</v>
      </c>
      <c r="D81" s="26">
        <f t="shared" si="7"/>
        <v>30000</v>
      </c>
      <c r="E81" s="118">
        <f>C81/C4</f>
        <v>9.3072605939893707E-2</v>
      </c>
      <c r="F81" s="109">
        <v>30000</v>
      </c>
    </row>
    <row r="82" spans="1:6" ht="31.8" hidden="1" thickBot="1" x14ac:dyDescent="0.35">
      <c r="A82" s="8" t="s">
        <v>130</v>
      </c>
      <c r="B82" s="17" t="s">
        <v>131</v>
      </c>
      <c r="C82" s="31">
        <v>1250</v>
      </c>
      <c r="D82" s="26">
        <f t="shared" si="7"/>
        <v>15000</v>
      </c>
      <c r="E82" s="118">
        <f>C82/C4</f>
        <v>4.6536302969946854E-2</v>
      </c>
      <c r="F82" s="109">
        <v>15000</v>
      </c>
    </row>
    <row r="83" spans="1:6" ht="31.8" hidden="1" thickBot="1" x14ac:dyDescent="0.35">
      <c r="A83" s="8" t="s">
        <v>132</v>
      </c>
      <c r="B83" s="17" t="s">
        <v>133</v>
      </c>
      <c r="C83" s="31">
        <v>1250</v>
      </c>
      <c r="D83" s="26">
        <f t="shared" si="7"/>
        <v>15000</v>
      </c>
      <c r="E83" s="118">
        <f>C83/C4</f>
        <v>4.6536302969946854E-2</v>
      </c>
      <c r="F83" s="109">
        <v>15000</v>
      </c>
    </row>
    <row r="84" spans="1:6" ht="31.8" hidden="1" thickBot="1" x14ac:dyDescent="0.35">
      <c r="A84" s="8" t="s">
        <v>134</v>
      </c>
      <c r="B84" s="17" t="s">
        <v>135</v>
      </c>
      <c r="C84" s="31">
        <v>3000</v>
      </c>
      <c r="D84" s="26">
        <f t="shared" si="7"/>
        <v>36000</v>
      </c>
      <c r="E84" s="118">
        <f>C84/C4</f>
        <v>0.11168712712787246</v>
      </c>
      <c r="F84" s="109">
        <v>20003</v>
      </c>
    </row>
    <row r="85" spans="1:6" ht="47.4" hidden="1" thickBot="1" x14ac:dyDescent="0.35">
      <c r="A85" s="8" t="s">
        <v>136</v>
      </c>
      <c r="B85" s="17" t="s">
        <v>137</v>
      </c>
      <c r="C85" s="25">
        <v>21800</v>
      </c>
      <c r="D85" s="26">
        <f t="shared" si="7"/>
        <v>261600</v>
      </c>
      <c r="E85" s="118">
        <f>C85/C4</f>
        <v>0.81159312379587312</v>
      </c>
      <c r="F85" s="109">
        <v>239800</v>
      </c>
    </row>
    <row r="86" spans="1:6" ht="47.4" hidden="1" thickBot="1" x14ac:dyDescent="0.35">
      <c r="A86" s="8" t="s">
        <v>138</v>
      </c>
      <c r="B86" s="23" t="s">
        <v>139</v>
      </c>
      <c r="C86" s="25">
        <v>7925</v>
      </c>
      <c r="D86" s="26">
        <f t="shared" si="7"/>
        <v>95100</v>
      </c>
      <c r="E86" s="210">
        <f>C86/C4</f>
        <v>0.29504016082946305</v>
      </c>
      <c r="F86" s="109">
        <v>130405</v>
      </c>
    </row>
    <row r="87" spans="1:6" ht="78.599999999999994" hidden="1" thickBot="1" x14ac:dyDescent="0.35">
      <c r="A87" s="8" t="s">
        <v>140</v>
      </c>
      <c r="B87" s="40" t="s">
        <v>141</v>
      </c>
      <c r="C87" s="41">
        <f>D87/12</f>
        <v>19983.333333333332</v>
      </c>
      <c r="D87" s="42">
        <f>175200+35600+12900+16100</f>
        <v>239800</v>
      </c>
      <c r="E87" s="118">
        <f>C87/C4</f>
        <v>0.7439603634795503</v>
      </c>
      <c r="F87" s="109">
        <v>165689</v>
      </c>
    </row>
    <row r="88" spans="1:6" ht="31.8" thickBot="1" x14ac:dyDescent="0.35">
      <c r="A88" s="32" t="s">
        <v>142</v>
      </c>
      <c r="B88" s="33" t="s">
        <v>143</v>
      </c>
      <c r="C88" s="43">
        <f>C89+C90+C91+C92</f>
        <v>62292.833333333336</v>
      </c>
      <c r="D88" s="35">
        <f>C88*12</f>
        <v>747514</v>
      </c>
      <c r="E88" s="205">
        <f>SUM(E89:E92)</f>
        <v>2.3191025318851239</v>
      </c>
      <c r="F88" s="194">
        <f>F89+F90+F91+F92</f>
        <v>822142</v>
      </c>
    </row>
    <row r="89" spans="1:6" ht="31.8" hidden="1" thickBot="1" x14ac:dyDescent="0.35">
      <c r="A89" s="8" t="s">
        <v>144</v>
      </c>
      <c r="B89" s="44" t="s">
        <v>145</v>
      </c>
      <c r="C89" s="45">
        <v>40000</v>
      </c>
      <c r="D89" s="26">
        <f>C89*12</f>
        <v>480000</v>
      </c>
      <c r="E89" s="118">
        <f>C89/C4</f>
        <v>1.4891616950382993</v>
      </c>
      <c r="F89" s="109">
        <v>480000</v>
      </c>
    </row>
    <row r="90" spans="1:6" ht="31.8" hidden="1" thickBot="1" x14ac:dyDescent="0.35">
      <c r="A90" s="8" t="s">
        <v>146</v>
      </c>
      <c r="B90" s="23" t="s">
        <v>147</v>
      </c>
      <c r="C90" s="31">
        <v>11494</v>
      </c>
      <c r="D90" s="26">
        <f>C90*12</f>
        <v>137928</v>
      </c>
      <c r="E90" s="118">
        <f>C90/C4</f>
        <v>0.42791061306925532</v>
      </c>
      <c r="F90" s="109">
        <v>149711</v>
      </c>
    </row>
    <row r="91" spans="1:6" ht="31.8" hidden="1" thickBot="1" x14ac:dyDescent="0.35">
      <c r="A91" s="8" t="s">
        <v>148</v>
      </c>
      <c r="B91" s="23" t="s">
        <v>125</v>
      </c>
      <c r="C91" s="31">
        <f>D91/12</f>
        <v>10298.833333333334</v>
      </c>
      <c r="D91" s="26">
        <v>123586</v>
      </c>
      <c r="E91" s="118">
        <f>C90:C91/C4</f>
        <v>0.38341570258959018</v>
      </c>
      <c r="F91" s="109">
        <v>170652</v>
      </c>
    </row>
    <row r="92" spans="1:6" ht="31.8" hidden="1" thickBot="1" x14ac:dyDescent="0.35">
      <c r="A92" s="162" t="s">
        <v>149</v>
      </c>
      <c r="B92" s="165" t="s">
        <v>150</v>
      </c>
      <c r="C92" s="41">
        <v>500</v>
      </c>
      <c r="D92" s="42">
        <f>C92*12</f>
        <v>6000</v>
      </c>
      <c r="E92" s="133">
        <f>C92/C4</f>
        <v>1.8614521187978742E-2</v>
      </c>
      <c r="F92" s="124">
        <v>21779</v>
      </c>
    </row>
    <row r="93" spans="1:6" ht="16.2" thickBot="1" x14ac:dyDescent="0.35">
      <c r="A93" s="32" t="s">
        <v>151</v>
      </c>
      <c r="B93" s="33" t="s">
        <v>152</v>
      </c>
      <c r="C93" s="34">
        <f>C94+C95+C96+C97</f>
        <v>100256.83333333333</v>
      </c>
      <c r="D93" s="35">
        <f>C93*12</f>
        <v>1203082</v>
      </c>
      <c r="E93" s="131">
        <f>SUM(E94:E97)</f>
        <v>3.7324658966459734</v>
      </c>
      <c r="F93" s="139">
        <f>F94+F95+F96+F97</f>
        <v>969760</v>
      </c>
    </row>
    <row r="94" spans="1:6" ht="31.8" hidden="1" thickBot="1" x14ac:dyDescent="0.35">
      <c r="A94" s="8" t="s">
        <v>153</v>
      </c>
      <c r="B94" s="46" t="s">
        <v>154</v>
      </c>
      <c r="C94" s="47">
        <f>34482*2</f>
        <v>68964</v>
      </c>
      <c r="D94" s="26">
        <f>C94*12</f>
        <v>827568</v>
      </c>
      <c r="E94" s="141">
        <f>C94/C4</f>
        <v>2.5674636784155318</v>
      </c>
      <c r="F94" s="110">
        <v>494133</v>
      </c>
    </row>
    <row r="95" spans="1:6" ht="31.8" hidden="1" thickBot="1" x14ac:dyDescent="0.35">
      <c r="A95" s="8" t="s">
        <v>155</v>
      </c>
      <c r="B95" s="23" t="s">
        <v>60</v>
      </c>
      <c r="C95" s="47">
        <f>165514/12</f>
        <v>13792.833333333334</v>
      </c>
      <c r="D95" s="26">
        <v>165514</v>
      </c>
      <c r="E95" s="120">
        <f>C95/C4</f>
        <v>0.51349397665118557</v>
      </c>
      <c r="F95" s="109">
        <v>133910</v>
      </c>
    </row>
    <row r="96" spans="1:6" ht="31.8" hidden="1" thickBot="1" x14ac:dyDescent="0.35">
      <c r="A96" s="8" t="s">
        <v>156</v>
      </c>
      <c r="B96" s="48" t="s">
        <v>157</v>
      </c>
      <c r="C96" s="47">
        <v>2500</v>
      </c>
      <c r="D96" s="26">
        <f>C96*12</f>
        <v>30000</v>
      </c>
      <c r="E96" s="120">
        <f>C96/C4</f>
        <v>9.3072605939893707E-2</v>
      </c>
      <c r="F96" s="109">
        <v>43217</v>
      </c>
    </row>
    <row r="97" spans="1:6" ht="31.8" hidden="1" thickBot="1" x14ac:dyDescent="0.35">
      <c r="A97" s="8" t="s">
        <v>158</v>
      </c>
      <c r="B97" s="48" t="s">
        <v>159</v>
      </c>
      <c r="C97" s="47">
        <v>15000</v>
      </c>
      <c r="D97" s="26">
        <f>C97*12</f>
        <v>180000</v>
      </c>
      <c r="E97" s="120">
        <f>C97/C4</f>
        <v>0.55843563563936227</v>
      </c>
      <c r="F97" s="109">
        <v>298500</v>
      </c>
    </row>
    <row r="98" spans="1:6" ht="16.2" thickBot="1" x14ac:dyDescent="0.35">
      <c r="A98" s="27" t="s">
        <v>160</v>
      </c>
      <c r="B98" s="19" t="s">
        <v>161</v>
      </c>
      <c r="C98" s="28">
        <f>C99+C100+C101</f>
        <v>89193.600000000006</v>
      </c>
      <c r="D98" s="29">
        <f>D99+D100+D101</f>
        <v>1042327.2000000001</v>
      </c>
      <c r="E98" s="205">
        <f>E99+E100+E101</f>
        <v>3.3205923140642017</v>
      </c>
      <c r="F98" s="111">
        <f>F99+F100+F101</f>
        <v>1039827</v>
      </c>
    </row>
    <row r="99" spans="1:6" ht="47.4" hidden="1" thickBot="1" x14ac:dyDescent="0.35">
      <c r="A99" s="8" t="s">
        <v>162</v>
      </c>
      <c r="B99" s="17" t="s">
        <v>163</v>
      </c>
      <c r="C99" s="31">
        <v>81985.600000000006</v>
      </c>
      <c r="D99" s="26">
        <f>C99*12</f>
        <v>983827.20000000007</v>
      </c>
      <c r="E99" s="118">
        <f>C99/C4</f>
        <v>3.0522453766183002</v>
      </c>
      <c r="F99" s="109">
        <v>983827</v>
      </c>
    </row>
    <row r="100" spans="1:6" ht="47.4" hidden="1" thickBot="1" x14ac:dyDescent="0.35">
      <c r="A100" s="8" t="s">
        <v>164</v>
      </c>
      <c r="B100" s="23" t="s">
        <v>165</v>
      </c>
      <c r="C100" s="31">
        <v>7000</v>
      </c>
      <c r="D100" s="26">
        <v>56000</v>
      </c>
      <c r="E100" s="118">
        <f>C100/C4</f>
        <v>0.2606032966317024</v>
      </c>
      <c r="F100" s="109">
        <v>56000</v>
      </c>
    </row>
    <row r="101" spans="1:6" ht="31.2" hidden="1" x14ac:dyDescent="0.3">
      <c r="A101" s="162" t="s">
        <v>166</v>
      </c>
      <c r="B101" s="40" t="s">
        <v>167</v>
      </c>
      <c r="C101" s="41">
        <v>208</v>
      </c>
      <c r="D101" s="42">
        <v>2500</v>
      </c>
      <c r="E101" s="133">
        <f>C101/C4</f>
        <v>7.7436408141991564E-3</v>
      </c>
      <c r="F101" s="124">
        <v>0</v>
      </c>
    </row>
    <row r="102" spans="1:6" ht="16.2" thickBot="1" x14ac:dyDescent="0.35">
      <c r="A102" s="32" t="s">
        <v>168</v>
      </c>
      <c r="B102" s="33" t="s">
        <v>169</v>
      </c>
      <c r="C102" s="34">
        <f>C103</f>
        <v>500</v>
      </c>
      <c r="D102" s="136">
        <f>C102*12</f>
        <v>6000</v>
      </c>
      <c r="E102" s="131">
        <f>E103</f>
        <v>1.8614521187978742E-2</v>
      </c>
      <c r="F102" s="139">
        <f>F103</f>
        <v>15818</v>
      </c>
    </row>
    <row r="103" spans="1:6" ht="31.8" hidden="1" thickBot="1" x14ac:dyDescent="0.35">
      <c r="A103" s="8" t="s">
        <v>170</v>
      </c>
      <c r="B103" s="17" t="s">
        <v>171</v>
      </c>
      <c r="C103" s="31">
        <v>500</v>
      </c>
      <c r="D103" s="26">
        <f>C103*12</f>
        <v>6000</v>
      </c>
      <c r="E103" s="134">
        <f>C103/C4</f>
        <v>1.8614521187978742E-2</v>
      </c>
      <c r="F103" s="110">
        <v>15818</v>
      </c>
    </row>
    <row r="104" spans="1:6" ht="47.4" thickBot="1" x14ac:dyDescent="0.35">
      <c r="A104" s="27" t="s">
        <v>172</v>
      </c>
      <c r="B104" s="19" t="s">
        <v>173</v>
      </c>
      <c r="C104" s="28">
        <f>C105</f>
        <v>2000</v>
      </c>
      <c r="D104" s="29">
        <f>D105</f>
        <v>24000</v>
      </c>
      <c r="E104" s="205">
        <f>E105</f>
        <v>7.4458084751914969E-2</v>
      </c>
      <c r="F104" s="111">
        <f>F105</f>
        <v>0</v>
      </c>
    </row>
    <row r="105" spans="1:6" ht="46.8" hidden="1" x14ac:dyDescent="0.3">
      <c r="A105" s="162" t="s">
        <v>174</v>
      </c>
      <c r="B105" s="165" t="s">
        <v>175</v>
      </c>
      <c r="C105" s="41">
        <v>2000</v>
      </c>
      <c r="D105" s="42">
        <f>C105*12</f>
        <v>24000</v>
      </c>
      <c r="E105" s="133">
        <f>C105/C4</f>
        <v>7.4458084751914969E-2</v>
      </c>
      <c r="F105" s="124">
        <v>0</v>
      </c>
    </row>
    <row r="106" spans="1:6" ht="31.8" thickBot="1" x14ac:dyDescent="0.35">
      <c r="A106" s="32" t="s">
        <v>176</v>
      </c>
      <c r="B106" s="33" t="s">
        <v>177</v>
      </c>
      <c r="C106" s="178">
        <f>SUM(C107:C109)</f>
        <v>1275</v>
      </c>
      <c r="D106" s="142">
        <f>SUM(D107:D109)</f>
        <v>15300</v>
      </c>
      <c r="E106" s="143">
        <f>SUM(E107:E109)</f>
        <v>4.7467029029345791E-2</v>
      </c>
      <c r="F106" s="144">
        <f>SUM(F107:F109)</f>
        <v>26225</v>
      </c>
    </row>
    <row r="107" spans="1:6" ht="31.8" hidden="1" thickBot="1" x14ac:dyDescent="0.35">
      <c r="A107" s="8" t="s">
        <v>178</v>
      </c>
      <c r="B107" s="49" t="s">
        <v>179</v>
      </c>
      <c r="C107" s="50">
        <v>1000</v>
      </c>
      <c r="D107" s="51">
        <f>C107*12</f>
        <v>12000</v>
      </c>
      <c r="E107" s="211">
        <f>C107/C4</f>
        <v>3.7229042375957484E-2</v>
      </c>
      <c r="F107" s="110">
        <v>26125</v>
      </c>
    </row>
    <row r="108" spans="1:6" ht="31.8" hidden="1" thickBot="1" x14ac:dyDescent="0.35">
      <c r="A108" s="8" t="s">
        <v>180</v>
      </c>
      <c r="B108" s="49" t="s">
        <v>181</v>
      </c>
      <c r="C108" s="50">
        <v>75</v>
      </c>
      <c r="D108" s="51">
        <f>C108*12</f>
        <v>900</v>
      </c>
      <c r="E108" s="212">
        <f>C108/C4</f>
        <v>2.7921781781968112E-3</v>
      </c>
      <c r="F108" s="109">
        <v>0</v>
      </c>
    </row>
    <row r="109" spans="1:6" ht="31.8" hidden="1" thickBot="1" x14ac:dyDescent="0.35">
      <c r="A109" s="8" t="s">
        <v>182</v>
      </c>
      <c r="B109" s="49" t="s">
        <v>183</v>
      </c>
      <c r="C109" s="50">
        <v>200</v>
      </c>
      <c r="D109" s="51">
        <f>C109*12</f>
        <v>2400</v>
      </c>
      <c r="E109" s="212">
        <f>C109/C4</f>
        <v>7.4458084751914972E-3</v>
      </c>
      <c r="F109" s="109">
        <v>100</v>
      </c>
    </row>
    <row r="110" spans="1:6" ht="49.2" customHeight="1" thickBot="1" x14ac:dyDescent="0.35">
      <c r="A110" s="52" t="s">
        <v>18</v>
      </c>
      <c r="B110" s="53" t="s">
        <v>184</v>
      </c>
      <c r="C110" s="54">
        <f>C111+C112</f>
        <v>55956.800000000003</v>
      </c>
      <c r="D110" s="55">
        <f t="shared" ref="D110:F110" si="8">D111+D112</f>
        <v>671481.60000000009</v>
      </c>
      <c r="E110" s="119">
        <f t="shared" si="8"/>
        <v>2.0832180784229779</v>
      </c>
      <c r="F110" s="195">
        <f t="shared" si="8"/>
        <v>486343</v>
      </c>
    </row>
    <row r="111" spans="1:6" ht="47.4" hidden="1" thickBot="1" x14ac:dyDescent="0.35">
      <c r="A111" s="56" t="s">
        <v>185</v>
      </c>
      <c r="B111" s="57" t="s">
        <v>186</v>
      </c>
      <c r="C111" s="58">
        <v>15988</v>
      </c>
      <c r="D111" s="59">
        <f>C111*12</f>
        <v>191856</v>
      </c>
      <c r="E111" s="213">
        <f>C111/C4</f>
        <v>0.5952179295068083</v>
      </c>
      <c r="F111" s="109">
        <f>114227+1116+60830+14609</f>
        <v>190782</v>
      </c>
    </row>
    <row r="112" spans="1:6" ht="47.4" hidden="1" thickBot="1" x14ac:dyDescent="0.35">
      <c r="A112" s="179" t="s">
        <v>187</v>
      </c>
      <c r="B112" s="180" t="s">
        <v>188</v>
      </c>
      <c r="C112" s="181">
        <v>39968.800000000003</v>
      </c>
      <c r="D112" s="182">
        <f>C112*12</f>
        <v>479625.60000000003</v>
      </c>
      <c r="E112" s="214">
        <f>C112/C4</f>
        <v>1.4880001489161696</v>
      </c>
      <c r="F112" s="124">
        <f>41867+21500+127194+65000+40000</f>
        <v>295561</v>
      </c>
    </row>
    <row r="113" spans="1:8" ht="54.6" thickBot="1" x14ac:dyDescent="0.35">
      <c r="A113" s="60" t="s">
        <v>189</v>
      </c>
      <c r="B113" s="61" t="s">
        <v>190</v>
      </c>
      <c r="C113" s="62">
        <f>C114</f>
        <v>123533.33000000002</v>
      </c>
      <c r="D113" s="63">
        <f>D114</f>
        <v>1482399.96</v>
      </c>
      <c r="E113" s="146">
        <f>E114</f>
        <v>4.5990275774131408</v>
      </c>
      <c r="F113" s="147">
        <f>F114</f>
        <v>1052955</v>
      </c>
      <c r="H113" s="88"/>
    </row>
    <row r="114" spans="1:8" ht="67.8" thickBot="1" x14ac:dyDescent="0.35">
      <c r="A114" s="24" t="s">
        <v>18</v>
      </c>
      <c r="B114" s="64" t="s">
        <v>191</v>
      </c>
      <c r="C114" s="65">
        <f>SUM(C115:C121)</f>
        <v>123533.33000000002</v>
      </c>
      <c r="D114" s="66">
        <f>SUM(D115:D121)</f>
        <v>1482399.96</v>
      </c>
      <c r="E114" s="215">
        <f>C114/C4</f>
        <v>4.5990275774131408</v>
      </c>
      <c r="F114" s="196">
        <f>SUM(F115:F121)</f>
        <v>1052955</v>
      </c>
    </row>
    <row r="115" spans="1:8" ht="28.2" hidden="1" thickBot="1" x14ac:dyDescent="0.35">
      <c r="A115" s="8" t="s">
        <v>192</v>
      </c>
      <c r="B115" s="67" t="s">
        <v>193</v>
      </c>
      <c r="C115" s="45">
        <f>D115/12</f>
        <v>18166.666666666668</v>
      </c>
      <c r="D115" s="26">
        <v>218000</v>
      </c>
      <c r="E115" s="118">
        <f>C115/C4</f>
        <v>0.67632760316322771</v>
      </c>
      <c r="F115" s="109">
        <v>78750</v>
      </c>
      <c r="H115" s="87"/>
    </row>
    <row r="116" spans="1:8" ht="63" hidden="1" thickBot="1" x14ac:dyDescent="0.35">
      <c r="A116" s="8" t="s">
        <v>194</v>
      </c>
      <c r="B116" s="39" t="s">
        <v>195</v>
      </c>
      <c r="C116" s="38">
        <f>D116/12</f>
        <v>11666.666666666666</v>
      </c>
      <c r="D116" s="26">
        <v>140000</v>
      </c>
      <c r="E116" s="118">
        <f>C116/C4</f>
        <v>0.43433882771950394</v>
      </c>
      <c r="F116" s="109">
        <f>275695-135695</f>
        <v>140000</v>
      </c>
    </row>
    <row r="117" spans="1:8" ht="42" hidden="1" thickBot="1" x14ac:dyDescent="0.35">
      <c r="A117" s="8" t="s">
        <v>196</v>
      </c>
      <c r="B117" s="67" t="s">
        <v>197</v>
      </c>
      <c r="C117" s="45">
        <f>D117/12</f>
        <v>75000</v>
      </c>
      <c r="D117" s="26">
        <v>900000</v>
      </c>
      <c r="E117" s="118">
        <f>C117/C4</f>
        <v>2.7921781781968114</v>
      </c>
      <c r="F117" s="109">
        <f>308884+135695+120782</f>
        <v>565361</v>
      </c>
    </row>
    <row r="118" spans="1:8" ht="42" hidden="1" thickBot="1" x14ac:dyDescent="0.35">
      <c r="A118" s="8" t="s">
        <v>198</v>
      </c>
      <c r="B118" s="90" t="s">
        <v>199</v>
      </c>
      <c r="C118" s="41">
        <f>D118/12</f>
        <v>10166.666666666666</v>
      </c>
      <c r="D118" s="26">
        <v>122000</v>
      </c>
      <c r="E118" s="118">
        <f>C118/C4</f>
        <v>0.37849526415556772</v>
      </c>
      <c r="F118" s="109"/>
    </row>
    <row r="119" spans="1:8" ht="16.2" hidden="1" thickBot="1" x14ac:dyDescent="0.35">
      <c r="A119" s="8" t="s">
        <v>200</v>
      </c>
      <c r="B119" s="68" t="s">
        <v>201</v>
      </c>
      <c r="C119" s="58">
        <v>3333.33</v>
      </c>
      <c r="D119" s="26">
        <f>C119*12</f>
        <v>39999.96</v>
      </c>
      <c r="E119" s="213">
        <f>C119/C4</f>
        <v>0.12409668382305036</v>
      </c>
      <c r="F119" s="109">
        <v>40668</v>
      </c>
    </row>
    <row r="120" spans="1:8" ht="16.2" hidden="1" thickBot="1" x14ac:dyDescent="0.35">
      <c r="A120" s="8" t="s">
        <v>202</v>
      </c>
      <c r="B120" s="68" t="s">
        <v>203</v>
      </c>
      <c r="C120" s="58">
        <v>2500</v>
      </c>
      <c r="D120" s="26">
        <f>C120*12</f>
        <v>30000</v>
      </c>
      <c r="E120" s="213">
        <f>C120/C4</f>
        <v>9.3072605939893707E-2</v>
      </c>
      <c r="F120" s="109">
        <v>197054</v>
      </c>
    </row>
    <row r="121" spans="1:8" ht="16.2" hidden="1" thickBot="1" x14ac:dyDescent="0.35">
      <c r="A121" s="162" t="s">
        <v>210</v>
      </c>
      <c r="B121" s="90" t="s">
        <v>204</v>
      </c>
      <c r="C121" s="181">
        <v>2700</v>
      </c>
      <c r="D121" s="42">
        <v>32400</v>
      </c>
      <c r="E121" s="214">
        <v>0.1</v>
      </c>
      <c r="F121" s="124">
        <v>31122</v>
      </c>
    </row>
    <row r="122" spans="1:8" ht="18.600000000000001" thickBot="1" x14ac:dyDescent="0.35">
      <c r="A122" s="183" t="s">
        <v>33</v>
      </c>
      <c r="B122" s="184" t="s">
        <v>205</v>
      </c>
      <c r="C122" s="185">
        <f>C35</f>
        <v>922862.40000000014</v>
      </c>
      <c r="D122" s="69">
        <f t="shared" ref="D122" si="9">D35</f>
        <v>11046352.800000001</v>
      </c>
      <c r="E122" s="216">
        <f>E36+E113</f>
        <v>34.357283396777824</v>
      </c>
      <c r="F122" s="140"/>
    </row>
    <row r="123" spans="1:8" ht="47.4" thickBot="1" x14ac:dyDescent="0.35">
      <c r="A123" s="72"/>
      <c r="B123" s="73" t="s">
        <v>217</v>
      </c>
      <c r="C123" s="74"/>
      <c r="D123" s="75"/>
      <c r="E123" s="148">
        <f>E122</f>
        <v>34.357283396777824</v>
      </c>
      <c r="F123" s="108"/>
    </row>
    <row r="124" spans="1:8" ht="47.4" thickBot="1" x14ac:dyDescent="0.35">
      <c r="A124" s="70"/>
      <c r="B124" s="37" t="s">
        <v>206</v>
      </c>
      <c r="C124" s="71"/>
      <c r="D124" s="59"/>
      <c r="E124" s="217">
        <v>29.76</v>
      </c>
      <c r="F124" s="140"/>
    </row>
    <row r="125" spans="1:8" ht="23.4" customHeight="1" thickBot="1" x14ac:dyDescent="0.35">
      <c r="A125" s="70"/>
      <c r="B125" s="37" t="s">
        <v>211</v>
      </c>
      <c r="C125" s="71"/>
      <c r="D125" s="59"/>
      <c r="E125" s="112"/>
      <c r="F125" s="197">
        <v>100258</v>
      </c>
    </row>
    <row r="126" spans="1:8" ht="21" x14ac:dyDescent="0.3">
      <c r="A126" s="76"/>
      <c r="B126" s="218"/>
      <c r="C126" s="218"/>
      <c r="D126" s="218"/>
      <c r="E126" s="218"/>
    </row>
    <row r="127" spans="1:8" ht="33.6" customHeight="1" x14ac:dyDescent="0.3">
      <c r="A127" s="77" t="s">
        <v>207</v>
      </c>
      <c r="B127" s="219" t="s">
        <v>208</v>
      </c>
      <c r="C127" s="219"/>
      <c r="D127" s="219"/>
      <c r="E127" s="219"/>
    </row>
    <row r="128" spans="1:8" x14ac:dyDescent="0.3">
      <c r="A128" s="78"/>
      <c r="B128" s="79"/>
      <c r="C128" s="80"/>
      <c r="D128" s="81"/>
      <c r="E128" s="82"/>
    </row>
    <row r="129" spans="1:6" s="186" customFormat="1" ht="17.399999999999999" x14ac:dyDescent="0.3">
      <c r="A129" s="83"/>
      <c r="B129" s="222" t="s">
        <v>218</v>
      </c>
      <c r="C129" s="222"/>
      <c r="D129" s="222"/>
      <c r="E129" s="222"/>
      <c r="F129" s="222"/>
    </row>
    <row r="130" spans="1:6" x14ac:dyDescent="0.3">
      <c r="A130" s="84"/>
      <c r="B130" s="85"/>
      <c r="C130" s="81"/>
      <c r="D130" s="81"/>
      <c r="E130" s="86"/>
    </row>
    <row r="131" spans="1:6" x14ac:dyDescent="0.3">
      <c r="A131" s="84"/>
      <c r="B131" s="85"/>
      <c r="C131" s="81"/>
      <c r="D131" s="81"/>
      <c r="E131" s="86"/>
    </row>
  </sheetData>
  <mergeCells count="6">
    <mergeCell ref="E1:F1"/>
    <mergeCell ref="B129:F129"/>
    <mergeCell ref="B126:E126"/>
    <mergeCell ref="B127:E127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для 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Светлое ТСЖ</cp:lastModifiedBy>
  <cp:lastPrinted>2020-03-04T10:00:53Z</cp:lastPrinted>
  <dcterms:created xsi:type="dcterms:W3CDTF">2020-02-28T08:40:41Z</dcterms:created>
  <dcterms:modified xsi:type="dcterms:W3CDTF">2020-03-13T03:33:08Z</dcterms:modified>
</cp:coreProperties>
</file>